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331501\Downloads\"/>
    </mc:Choice>
  </mc:AlternateContent>
  <bookViews>
    <workbookView xWindow="0" yWindow="0" windowWidth="16392" windowHeight="5448" activeTab="2"/>
  </bookViews>
  <sheets>
    <sheet name="Listino 2016" sheetId="1" r:id="rId1"/>
    <sheet name="Foglio1" sheetId="8" r:id="rId2"/>
    <sheet name="sito web" sheetId="9" r:id="rId3"/>
    <sheet name="Dimensionamenti Flussi" sheetId="3" r:id="rId4"/>
    <sheet name="Dimensionamenti Vasca" sheetId="6" r:id="rId5"/>
    <sheet name="LSS" sheetId="7" r:id="rId6"/>
    <sheet name="Computo metrico" sheetId="4"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 i="9" l="1"/>
  <c r="D28" i="9"/>
  <c r="C28" i="9"/>
  <c r="E27" i="9"/>
  <c r="D27" i="9"/>
  <c r="C27" i="9"/>
  <c r="E26" i="9"/>
  <c r="D26" i="9"/>
  <c r="C26" i="9"/>
  <c r="E25" i="9"/>
  <c r="D25" i="9"/>
  <c r="C25" i="9"/>
  <c r="E24" i="9"/>
  <c r="D24" i="9"/>
  <c r="C24" i="9"/>
  <c r="E23" i="9"/>
  <c r="D23" i="9"/>
  <c r="C23" i="9"/>
  <c r="E19" i="9"/>
  <c r="D19" i="9"/>
  <c r="C19" i="9"/>
  <c r="E18" i="9"/>
  <c r="D18" i="9"/>
  <c r="C18" i="9"/>
  <c r="E17" i="9"/>
  <c r="D17" i="9"/>
  <c r="C17" i="9"/>
  <c r="E16" i="9"/>
  <c r="D16" i="9"/>
  <c r="C16" i="9"/>
  <c r="E15" i="9"/>
  <c r="D15" i="9"/>
  <c r="C15" i="9"/>
  <c r="E11" i="9"/>
  <c r="D11" i="9"/>
  <c r="C11" i="9"/>
  <c r="E10" i="9"/>
  <c r="D10" i="9"/>
  <c r="C10" i="9"/>
  <c r="E6" i="9"/>
  <c r="D6" i="9"/>
  <c r="C6" i="9"/>
  <c r="E5" i="9"/>
  <c r="D5" i="9"/>
  <c r="C5" i="9"/>
  <c r="E4" i="9"/>
  <c r="D4" i="9"/>
  <c r="C4" i="9"/>
  <c r="E3" i="9"/>
  <c r="D3" i="9"/>
  <c r="C3" i="9"/>
  <c r="E247" i="1" l="1"/>
  <c r="E248" i="1"/>
  <c r="N385" i="1" l="1"/>
  <c r="E385" i="1"/>
  <c r="F385" i="1" s="1"/>
  <c r="E8" i="3"/>
  <c r="E302" i="1"/>
  <c r="F302" i="1" s="1"/>
  <c r="G233" i="1"/>
  <c r="G232" i="1"/>
  <c r="G234" i="1"/>
  <c r="F110" i="4" l="1"/>
  <c r="G223" i="1" l="1"/>
  <c r="F223" i="1" s="1"/>
  <c r="G222" i="1"/>
  <c r="F222" i="1" s="1"/>
  <c r="G221" i="1"/>
  <c r="G220" i="1"/>
  <c r="G218" i="1"/>
  <c r="G217" i="1"/>
  <c r="G216" i="1"/>
  <c r="E260" i="1" l="1"/>
  <c r="F260" i="1" s="1"/>
  <c r="F23" i="4"/>
  <c r="G23" i="4" s="1"/>
  <c r="D48" i="4"/>
  <c r="D16" i="4" l="1"/>
  <c r="F16" i="4" s="1"/>
  <c r="G16" i="4" s="1"/>
  <c r="D17" i="4"/>
  <c r="F17" i="4" s="1"/>
  <c r="D33" i="4"/>
  <c r="F33" i="4" s="1"/>
  <c r="G33" i="4" s="1"/>
  <c r="D32" i="4"/>
  <c r="F32" i="4" s="1"/>
  <c r="G32" i="4" s="1"/>
  <c r="G17" i="4" l="1"/>
  <c r="F48" i="4"/>
  <c r="G48" i="4" s="1"/>
  <c r="F14" i="4"/>
  <c r="G14" i="4" s="1"/>
  <c r="D37" i="4"/>
  <c r="F37" i="4" s="1"/>
  <c r="G37" i="4" s="1"/>
  <c r="F36" i="4"/>
  <c r="G36" i="4" s="1"/>
  <c r="D35" i="4"/>
  <c r="F35" i="4" s="1"/>
  <c r="G35" i="4" s="1"/>
  <c r="D91" i="4"/>
  <c r="F91" i="4" s="1"/>
  <c r="G91" i="4" s="1"/>
  <c r="D79" i="4"/>
  <c r="F79" i="4" s="1"/>
  <c r="G79" i="4" s="1"/>
  <c r="D67" i="4"/>
  <c r="F67" i="4" s="1"/>
  <c r="G67" i="4" s="1"/>
  <c r="C1" i="4"/>
  <c r="D94" i="4"/>
  <c r="D95" i="4"/>
  <c r="F95" i="4" s="1"/>
  <c r="G95" i="4" s="1"/>
  <c r="F96" i="4"/>
  <c r="G96" i="4" s="1"/>
  <c r="F97" i="4"/>
  <c r="G97" i="4" s="1"/>
  <c r="F98" i="4"/>
  <c r="G98" i="4" s="1"/>
  <c r="F99" i="4"/>
  <c r="G99" i="4" s="1"/>
  <c r="F100" i="4"/>
  <c r="G100" i="4" s="1"/>
  <c r="F101" i="4"/>
  <c r="G101" i="4" s="1"/>
  <c r="F102" i="4"/>
  <c r="G102" i="4" s="1"/>
  <c r="F103" i="4"/>
  <c r="G103" i="4" s="1"/>
  <c r="F104" i="4"/>
  <c r="G104" i="4" s="1"/>
  <c r="F105" i="4"/>
  <c r="G105" i="4" s="1"/>
  <c r="F94" i="4"/>
  <c r="G94" i="4" s="1"/>
  <c r="F92" i="4"/>
  <c r="G92" i="4" s="1"/>
  <c r="D81" i="4"/>
  <c r="F81" i="4" s="1"/>
  <c r="G81" i="4" s="1"/>
  <c r="D82" i="4"/>
  <c r="F82" i="4" s="1"/>
  <c r="G82" i="4" s="1"/>
  <c r="F83" i="4"/>
  <c r="G83" i="4" s="1"/>
  <c r="F84" i="4"/>
  <c r="G84" i="4" s="1"/>
  <c r="F85" i="4"/>
  <c r="G85" i="4" s="1"/>
  <c r="F86" i="4"/>
  <c r="G86" i="4" s="1"/>
  <c r="F87" i="4"/>
  <c r="G87" i="4" s="1"/>
  <c r="F88" i="4"/>
  <c r="G88" i="4" s="1"/>
  <c r="F89" i="4"/>
  <c r="G89" i="4" s="1"/>
  <c r="F90" i="4"/>
  <c r="G90" i="4" s="1"/>
  <c r="F78" i="4"/>
  <c r="G78" i="4" s="1"/>
  <c r="F77" i="4"/>
  <c r="G77" i="4" s="1"/>
  <c r="F76" i="4"/>
  <c r="G76" i="4" s="1"/>
  <c r="F75" i="4"/>
  <c r="G75" i="4" s="1"/>
  <c r="F74" i="4"/>
  <c r="G74" i="4" s="1"/>
  <c r="F73" i="4"/>
  <c r="G73" i="4" s="1"/>
  <c r="F72" i="4"/>
  <c r="G72" i="4" s="1"/>
  <c r="F71" i="4"/>
  <c r="G71" i="4" s="1"/>
  <c r="D70" i="4"/>
  <c r="F70" i="4" s="1"/>
  <c r="G70" i="4" s="1"/>
  <c r="D69" i="4"/>
  <c r="F69" i="4" s="1"/>
  <c r="G69" i="4" s="1"/>
  <c r="D57" i="4"/>
  <c r="F57" i="4" s="1"/>
  <c r="G57" i="4" s="1"/>
  <c r="F66" i="4"/>
  <c r="G66" i="4" s="1"/>
  <c r="F65" i="4"/>
  <c r="G65" i="4" s="1"/>
  <c r="F60" i="4"/>
  <c r="G60" i="4" s="1"/>
  <c r="F61" i="4"/>
  <c r="G61" i="4" s="1"/>
  <c r="F62" i="4"/>
  <c r="G62" i="4" s="1"/>
  <c r="F63" i="4"/>
  <c r="G63" i="4" s="1"/>
  <c r="F59" i="4"/>
  <c r="G59" i="4" s="1"/>
  <c r="F64" i="4"/>
  <c r="G64" i="4" s="1"/>
  <c r="D58" i="4"/>
  <c r="F58" i="4" s="1"/>
  <c r="G58" i="4" s="1"/>
  <c r="E381" i="1"/>
  <c r="E369" i="1"/>
  <c r="E368" i="1"/>
  <c r="E364" i="1"/>
  <c r="E363" i="1"/>
  <c r="E286" i="1"/>
  <c r="E285" i="1"/>
  <c r="E284" i="1"/>
  <c r="E283" i="1"/>
  <c r="G282" i="1"/>
  <c r="G281" i="1"/>
  <c r="G280" i="1"/>
  <c r="G279" i="1"/>
  <c r="G278" i="1"/>
  <c r="G277" i="1"/>
  <c r="G276" i="1"/>
  <c r="G275" i="1"/>
  <c r="G274" i="1"/>
  <c r="G273" i="1"/>
  <c r="G272" i="1"/>
  <c r="E198" i="1"/>
  <c r="E197" i="1"/>
  <c r="G193" i="1"/>
  <c r="G126" i="1"/>
  <c r="G123" i="1"/>
  <c r="G120" i="1"/>
  <c r="G117" i="1"/>
  <c r="G114" i="1"/>
  <c r="G111" i="1"/>
  <c r="G108" i="1"/>
  <c r="G105" i="1"/>
  <c r="G102" i="1"/>
  <c r="G99" i="1"/>
  <c r="G96" i="1"/>
  <c r="G93" i="1"/>
  <c r="G90" i="1"/>
  <c r="G87" i="1"/>
  <c r="G84" i="1"/>
  <c r="G81" i="1"/>
  <c r="E52" i="1"/>
  <c r="G38" i="4" l="1"/>
  <c r="M8" i="3"/>
  <c r="O6" i="3"/>
  <c r="M8" i="6"/>
  <c r="O6" i="6"/>
  <c r="D54" i="4" l="1"/>
  <c r="F54" i="4" s="1"/>
  <c r="G54" i="4" s="1"/>
  <c r="F52" i="4"/>
  <c r="G52" i="4" s="1"/>
  <c r="F53" i="4"/>
  <c r="G53" i="4" s="1"/>
  <c r="D31" i="4"/>
  <c r="F31" i="4" s="1"/>
  <c r="G31" i="4" s="1"/>
  <c r="D15" i="4"/>
  <c r="F15" i="4" s="1"/>
  <c r="G15" i="4" s="1"/>
  <c r="F30" i="4"/>
  <c r="G30" i="4" s="1"/>
  <c r="F28" i="4"/>
  <c r="G28" i="4" s="1"/>
  <c r="F27" i="4"/>
  <c r="G27" i="4" s="1"/>
  <c r="F26" i="4"/>
  <c r="G26" i="4" s="1"/>
  <c r="F25" i="4"/>
  <c r="G25" i="4" s="1"/>
  <c r="F24" i="4"/>
  <c r="G24" i="4" s="1"/>
  <c r="F22" i="4"/>
  <c r="G22" i="4" s="1"/>
  <c r="F21" i="4"/>
  <c r="G21" i="4" s="1"/>
  <c r="F20" i="4"/>
  <c r="G20" i="4" s="1"/>
  <c r="G63" i="1"/>
  <c r="G62" i="1"/>
  <c r="G51" i="1"/>
  <c r="G50" i="1"/>
  <c r="G49" i="1"/>
  <c r="G48" i="1"/>
  <c r="G47" i="1"/>
  <c r="G46" i="1"/>
  <c r="G45" i="1"/>
  <c r="G44" i="1"/>
  <c r="G43" i="1"/>
  <c r="G42" i="1"/>
  <c r="G41" i="1"/>
  <c r="G40" i="1"/>
  <c r="G39" i="1"/>
  <c r="G38" i="1"/>
  <c r="G37" i="1"/>
  <c r="G36" i="1"/>
  <c r="G35" i="1"/>
  <c r="G34" i="1"/>
  <c r="G33" i="1"/>
  <c r="G32" i="1"/>
  <c r="G31" i="1"/>
  <c r="I4" i="6"/>
  <c r="I14" i="6" s="1"/>
  <c r="D10" i="4"/>
  <c r="F10" i="4" s="1"/>
  <c r="G10" i="4" s="1"/>
  <c r="F10" i="6"/>
  <c r="F6" i="6"/>
  <c r="F4" i="6"/>
  <c r="F12" i="6" s="1"/>
  <c r="I10" i="6"/>
  <c r="I6" i="6"/>
  <c r="F4" i="4"/>
  <c r="G4" i="4" s="1"/>
  <c r="F5" i="4"/>
  <c r="G5" i="4" s="1"/>
  <c r="F6" i="4"/>
  <c r="G6" i="4" s="1"/>
  <c r="F7" i="4"/>
  <c r="G7" i="4" s="1"/>
  <c r="F8" i="4"/>
  <c r="G8" i="4" s="1"/>
  <c r="F41" i="4"/>
  <c r="G41" i="4" s="1"/>
  <c r="F42" i="4"/>
  <c r="G42" i="4" s="1"/>
  <c r="F43" i="4"/>
  <c r="G43" i="4" s="1"/>
  <c r="F44" i="4"/>
  <c r="G44" i="4" s="1"/>
  <c r="F9" i="4"/>
  <c r="G9" i="4" s="1"/>
  <c r="F45" i="4"/>
  <c r="G45" i="4" s="1"/>
  <c r="F46" i="4"/>
  <c r="G46" i="4" s="1"/>
  <c r="F47" i="4"/>
  <c r="G47" i="4" s="1"/>
  <c r="F11" i="4"/>
  <c r="G11" i="4" s="1"/>
  <c r="F12" i="4"/>
  <c r="G12" i="4" s="1"/>
  <c r="F3" i="4"/>
  <c r="G3" i="4" s="1"/>
  <c r="F14" i="6" l="1"/>
  <c r="I12" i="6"/>
  <c r="F82" i="1"/>
  <c r="F88" i="1"/>
  <c r="F94" i="1"/>
  <c r="F100" i="1"/>
  <c r="F106" i="1"/>
  <c r="F112" i="1"/>
  <c r="F118" i="1"/>
  <c r="F124" i="1"/>
  <c r="F134" i="1" l="1"/>
  <c r="F138" i="1"/>
  <c r="F142" i="1"/>
  <c r="F146" i="1"/>
  <c r="F150" i="1"/>
  <c r="I8" i="3" l="1"/>
  <c r="F4" i="3"/>
  <c r="C6" i="3"/>
  <c r="H6" i="3"/>
  <c r="H8" i="3"/>
  <c r="E6" i="3"/>
  <c r="H4" i="3"/>
  <c r="E4" i="3"/>
  <c r="F198" i="1" l="1"/>
  <c r="F197" i="1"/>
  <c r="F285" i="1" l="1"/>
  <c r="F286" i="1"/>
  <c r="F284" i="1"/>
  <c r="F283" i="1"/>
  <c r="F193" i="1" l="1"/>
  <c r="F368" i="1" l="1"/>
  <c r="G377" i="1"/>
  <c r="E377" i="1"/>
  <c r="G9" i="1"/>
  <c r="G8" i="1"/>
  <c r="G16" i="1"/>
  <c r="G7" i="1"/>
  <c r="G11" i="1"/>
  <c r="F11" i="1" s="1"/>
  <c r="G17" i="1"/>
  <c r="F17" i="1" s="1"/>
  <c r="G18" i="1"/>
  <c r="F18" i="1" s="1"/>
  <c r="G15" i="1"/>
  <c r="F15" i="1" s="1"/>
  <c r="G14" i="1"/>
  <c r="G10" i="1"/>
  <c r="G12" i="1"/>
  <c r="G13" i="1"/>
  <c r="G28" i="1"/>
  <c r="F28" i="1" s="1"/>
  <c r="G26" i="1"/>
  <c r="G27" i="1"/>
  <c r="G25" i="1"/>
  <c r="F84" i="1" l="1"/>
  <c r="F195" i="1"/>
  <c r="E262" i="1" l="1"/>
  <c r="F262" i="1" s="1"/>
  <c r="E261" i="1"/>
  <c r="F261" i="1" s="1"/>
  <c r="E259" i="1"/>
  <c r="F259" i="1" s="1"/>
  <c r="F87" i="1" l="1"/>
  <c r="F93" i="1"/>
  <c r="F99" i="1"/>
  <c r="F105" i="1"/>
  <c r="F111" i="1"/>
  <c r="F117" i="1"/>
  <c r="F123" i="1"/>
  <c r="F181" i="1" l="1"/>
  <c r="F180" i="1"/>
  <c r="F179" i="1"/>
  <c r="F182" i="1"/>
  <c r="F177" i="1"/>
  <c r="F176" i="1"/>
  <c r="F175" i="1"/>
  <c r="F178" i="1"/>
  <c r="F171" i="1"/>
  <c r="F186" i="1"/>
  <c r="F185" i="1"/>
  <c r="F184" i="1"/>
  <c r="E173" i="1"/>
  <c r="F173" i="1" s="1"/>
  <c r="E174" i="1"/>
  <c r="F174" i="1" s="1"/>
  <c r="E183" i="1"/>
  <c r="F183" i="1" s="1"/>
  <c r="F172" i="1"/>
  <c r="F271" i="1"/>
  <c r="F270" i="1"/>
  <c r="E367" i="1"/>
  <c r="F367" i="1" s="1"/>
  <c r="E362" i="1"/>
  <c r="F362" i="1" s="1"/>
  <c r="E365" i="1"/>
  <c r="F365" i="1" s="1"/>
  <c r="E366" i="1"/>
  <c r="F366" i="1" s="1"/>
  <c r="N364" i="1"/>
  <c r="F364" i="1"/>
  <c r="N363" i="1"/>
  <c r="F363" i="1"/>
  <c r="F369" i="1"/>
  <c r="F273" i="1"/>
  <c r="F272" i="1"/>
  <c r="F279" i="1"/>
  <c r="F276" i="1"/>
  <c r="F275" i="1"/>
  <c r="F282" i="1"/>
  <c r="F281" i="1"/>
  <c r="F280" i="1"/>
  <c r="F278" i="1"/>
  <c r="F277" i="1"/>
  <c r="F274" i="1"/>
  <c r="E6" i="1"/>
  <c r="E5" i="1"/>
  <c r="G370" i="1"/>
  <c r="F370" i="1" s="1"/>
  <c r="G371" i="1"/>
  <c r="F371" i="1" s="1"/>
  <c r="E380" i="1"/>
  <c r="F380" i="1" s="1"/>
  <c r="F381" i="1"/>
  <c r="E379" i="1"/>
  <c r="F379" i="1" s="1"/>
  <c r="F378" i="1"/>
  <c r="F377" i="1"/>
  <c r="F375" i="1"/>
  <c r="E374" i="1"/>
  <c r="F374" i="1" s="1"/>
  <c r="F373" i="1"/>
  <c r="F372" i="1"/>
  <c r="N389" i="1"/>
  <c r="E389" i="1"/>
  <c r="F389" i="1" s="1"/>
  <c r="E386" i="1"/>
  <c r="G386" i="1" s="1"/>
  <c r="F386" i="1" s="1"/>
  <c r="N384" i="1"/>
  <c r="E384" i="1"/>
  <c r="G384" i="1" s="1"/>
  <c r="F384" i="1" s="1"/>
  <c r="N383" i="1"/>
  <c r="E383" i="1"/>
  <c r="G383" i="1" s="1"/>
  <c r="F383" i="1" s="1"/>
  <c r="N382" i="1"/>
  <c r="E382" i="1"/>
  <c r="G382" i="1" s="1"/>
  <c r="F382" i="1" s="1"/>
  <c r="N388" i="1"/>
  <c r="E388" i="1"/>
  <c r="G388" i="1" s="1"/>
  <c r="F388" i="1" s="1"/>
  <c r="N387" i="1"/>
  <c r="E387" i="1"/>
  <c r="G387" i="1" s="1"/>
  <c r="F387" i="1" s="1"/>
  <c r="G54" i="1"/>
  <c r="F54" i="1" s="1"/>
  <c r="G58" i="1"/>
  <c r="F58" i="1" s="1"/>
  <c r="G55" i="1"/>
  <c r="F55" i="1" s="1"/>
  <c r="G56" i="1"/>
  <c r="F56" i="1" s="1"/>
  <c r="G53" i="1"/>
  <c r="F53" i="1" s="1"/>
  <c r="G57" i="1"/>
  <c r="F57" i="1" s="1"/>
  <c r="G59" i="1"/>
  <c r="F59" i="1" s="1"/>
  <c r="F9" i="1"/>
  <c r="F8" i="1"/>
  <c r="F7" i="1"/>
  <c r="F16" i="1"/>
  <c r="F13" i="1"/>
  <c r="F12" i="1"/>
  <c r="F10" i="1"/>
  <c r="F14" i="1"/>
  <c r="F27" i="1"/>
  <c r="F26" i="1"/>
  <c r="F25" i="1"/>
  <c r="G24" i="1"/>
  <c r="F24" i="1" s="1"/>
  <c r="G22" i="1"/>
  <c r="F22" i="1" s="1"/>
  <c r="G21" i="1"/>
  <c r="F21" i="1" s="1"/>
  <c r="G20" i="1"/>
  <c r="F20" i="1" s="1"/>
  <c r="G19" i="1"/>
  <c r="F19" i="1" s="1"/>
  <c r="G23" i="1"/>
  <c r="F23" i="1" s="1"/>
  <c r="F51" i="1"/>
  <c r="F50" i="1"/>
  <c r="F49" i="1"/>
  <c r="F45" i="1"/>
  <c r="F43" i="1"/>
  <c r="F42" i="1"/>
  <c r="F48" i="1"/>
  <c r="F47" i="1"/>
  <c r="F46" i="1"/>
  <c r="F44" i="1"/>
  <c r="F38" i="1"/>
  <c r="F37" i="1"/>
  <c r="F41" i="1"/>
  <c r="F40" i="1"/>
  <c r="F39" i="1"/>
  <c r="F36" i="1"/>
  <c r="F32" i="1"/>
  <c r="F31" i="1"/>
  <c r="F35" i="1"/>
  <c r="F34" i="1"/>
  <c r="F33" i="1"/>
  <c r="F30" i="1"/>
  <c r="E29" i="1"/>
  <c r="F29" i="1" s="1"/>
  <c r="F188" i="1"/>
  <c r="F189" i="1"/>
  <c r="F190" i="1"/>
  <c r="F187" i="1"/>
  <c r="F154" i="1"/>
  <c r="G156" i="1"/>
  <c r="F156" i="1" s="1"/>
  <c r="F155" i="1"/>
  <c r="F157" i="1"/>
  <c r="F160" i="1"/>
  <c r="F159" i="1"/>
  <c r="F158" i="1"/>
  <c r="F153" i="1"/>
  <c r="F152" i="1"/>
  <c r="F170" i="1"/>
  <c r="F169" i="1"/>
  <c r="F168" i="1"/>
  <c r="F163" i="1"/>
  <c r="F162" i="1"/>
  <c r="F161" i="1"/>
  <c r="E167" i="1"/>
  <c r="G167" i="1" s="1"/>
  <c r="G166" i="1"/>
  <c r="G165" i="1"/>
  <c r="F165" i="1" s="1"/>
  <c r="G164" i="1"/>
  <c r="F164" i="1" s="1"/>
  <c r="E65" i="1"/>
  <c r="F65" i="1" s="1"/>
  <c r="E131" i="1"/>
  <c r="F131" i="1" s="1"/>
  <c r="F129" i="1"/>
  <c r="F130" i="1"/>
  <c r="F3" i="1"/>
  <c r="E2" i="1"/>
  <c r="F2" i="1" s="1"/>
  <c r="F4" i="1"/>
  <c r="F69" i="1"/>
  <c r="F66" i="1"/>
  <c r="F78" i="1"/>
  <c r="F75" i="1"/>
  <c r="F72" i="1"/>
  <c r="R135" i="1"/>
  <c r="R134" i="1" s="1"/>
  <c r="R139" i="1" s="1"/>
  <c r="R138" i="1" s="1"/>
  <c r="R143" i="1" s="1"/>
  <c r="R142" i="1" s="1"/>
  <c r="R147" i="1" s="1"/>
  <c r="G148" i="1"/>
  <c r="F148" i="1" s="1"/>
  <c r="F144" i="1"/>
  <c r="F140" i="1"/>
  <c r="F136" i="1"/>
  <c r="F132" i="1"/>
  <c r="F64" i="1"/>
  <c r="K61" i="1"/>
  <c r="F61" i="1"/>
  <c r="K60" i="1"/>
  <c r="F60" i="1"/>
  <c r="K63" i="1"/>
  <c r="F63" i="1"/>
  <c r="K62" i="1"/>
  <c r="F62" i="1"/>
  <c r="E200" i="1"/>
  <c r="F200" i="1" s="1"/>
  <c r="E199" i="1"/>
  <c r="F199" i="1" s="1"/>
  <c r="F214" i="1"/>
  <c r="F213" i="1"/>
  <c r="F212" i="1"/>
  <c r="F211" i="1"/>
  <c r="F210" i="1"/>
  <c r="F209" i="1"/>
  <c r="F208" i="1"/>
  <c r="F207" i="1"/>
  <c r="F206" i="1"/>
  <c r="F205" i="1"/>
  <c r="F204" i="1"/>
  <c r="F203" i="1"/>
  <c r="F226" i="1"/>
  <c r="G225" i="1"/>
  <c r="F225" i="1" s="1"/>
  <c r="F224" i="1"/>
  <c r="F221" i="1"/>
  <c r="F219" i="1"/>
  <c r="F218" i="1"/>
  <c r="F217" i="1"/>
  <c r="F215" i="1"/>
  <c r="F192" i="1"/>
  <c r="F196" i="1"/>
  <c r="F194" i="1"/>
  <c r="F191" i="1"/>
  <c r="E230" i="1"/>
  <c r="F230" i="1" s="1"/>
  <c r="E229" i="1"/>
  <c r="F229" i="1" s="1"/>
  <c r="E228" i="1"/>
  <c r="F228" i="1" s="1"/>
  <c r="E227" i="1"/>
  <c r="F227" i="1" s="1"/>
  <c r="E233" i="1"/>
  <c r="F233" i="1" s="1"/>
  <c r="E232" i="1"/>
  <c r="F232" i="1" s="1"/>
  <c r="K237" i="1"/>
  <c r="E237" i="1"/>
  <c r="F237" i="1" s="1"/>
  <c r="K236" i="1"/>
  <c r="E236" i="1"/>
  <c r="F236" i="1" s="1"/>
  <c r="K235" i="1"/>
  <c r="E235" i="1"/>
  <c r="F235" i="1" s="1"/>
  <c r="E246" i="1"/>
  <c r="F246" i="1" s="1"/>
  <c r="E245" i="1"/>
  <c r="F245" i="1" s="1"/>
  <c r="E258" i="1"/>
  <c r="F258" i="1" s="1"/>
  <c r="G269" i="1"/>
  <c r="E269" i="1"/>
  <c r="G268" i="1"/>
  <c r="E268" i="1"/>
  <c r="G263" i="1"/>
  <c r="E263" i="1" s="1"/>
  <c r="F263" i="1" s="1"/>
  <c r="E265" i="1"/>
  <c r="F265" i="1" s="1"/>
  <c r="E267" i="1"/>
  <c r="F267" i="1" s="1"/>
  <c r="E266" i="1"/>
  <c r="F266" i="1" s="1"/>
  <c r="E264" i="1"/>
  <c r="F264" i="1" s="1"/>
  <c r="E249" i="1"/>
  <c r="F249" i="1" s="1"/>
  <c r="E250" i="1"/>
  <c r="F250" i="1" s="1"/>
  <c r="E251" i="1"/>
  <c r="F251" i="1" s="1"/>
  <c r="E252" i="1"/>
  <c r="F252" i="1" s="1"/>
  <c r="E253" i="1"/>
  <c r="F253" i="1" s="1"/>
  <c r="E254" i="1"/>
  <c r="F254" i="1" s="1"/>
  <c r="E255" i="1"/>
  <c r="F255" i="1" s="1"/>
  <c r="F257" i="1"/>
  <c r="F256" i="1"/>
  <c r="F316" i="1"/>
  <c r="F315" i="1"/>
  <c r="F317" i="1"/>
  <c r="F319" i="1"/>
  <c r="F320" i="1"/>
  <c r="F247" i="1"/>
  <c r="E314" i="1"/>
  <c r="F314" i="1" s="1"/>
  <c r="E313" i="1"/>
  <c r="F313" i="1" s="1"/>
  <c r="F321" i="1"/>
  <c r="F318" i="1"/>
  <c r="E311" i="1"/>
  <c r="F311" i="1" s="1"/>
  <c r="F312" i="1"/>
  <c r="F361" i="1"/>
  <c r="F360" i="1"/>
  <c r="F359" i="1"/>
  <c r="F358" i="1"/>
  <c r="F357" i="1"/>
  <c r="F336" i="1"/>
  <c r="F341" i="1"/>
  <c r="F340" i="1"/>
  <c r="F339" i="1"/>
  <c r="F338" i="1"/>
  <c r="F337" i="1"/>
  <c r="F335" i="1"/>
  <c r="E244" i="1"/>
  <c r="E240" i="1"/>
  <c r="F240" i="1" s="1"/>
  <c r="E243" i="1"/>
  <c r="F243" i="1" s="1"/>
  <c r="E239" i="1"/>
  <c r="F239" i="1" s="1"/>
  <c r="E238" i="1"/>
  <c r="F238" i="1" s="1"/>
  <c r="E242" i="1"/>
  <c r="F242" i="1" s="1"/>
  <c r="E241" i="1"/>
  <c r="F241" i="1" s="1"/>
  <c r="L350" i="1"/>
  <c r="E350" i="1"/>
  <c r="F350" i="1" s="1"/>
  <c r="L356" i="1"/>
  <c r="E356" i="1"/>
  <c r="F356" i="1" s="1"/>
  <c r="L355" i="1"/>
  <c r="E355" i="1"/>
  <c r="F355" i="1" s="1"/>
  <c r="L354" i="1"/>
  <c r="E354" i="1"/>
  <c r="F354" i="1" s="1"/>
  <c r="L353" i="1"/>
  <c r="E353" i="1"/>
  <c r="F353" i="1" s="1"/>
  <c r="L352" i="1"/>
  <c r="E352" i="1"/>
  <c r="F352" i="1" s="1"/>
  <c r="E351" i="1"/>
  <c r="F351" i="1" s="1"/>
  <c r="E349" i="1"/>
  <c r="F349" i="1" s="1"/>
  <c r="E348" i="1"/>
  <c r="F348" i="1" s="1"/>
  <c r="E347" i="1"/>
  <c r="F347" i="1" s="1"/>
  <c r="E346" i="1"/>
  <c r="F346" i="1" s="1"/>
  <c r="E344" i="1"/>
  <c r="F344" i="1" s="1"/>
  <c r="E343" i="1"/>
  <c r="F343" i="1" s="1"/>
  <c r="E342" i="1"/>
  <c r="F342" i="1" s="1"/>
  <c r="E345" i="1"/>
  <c r="F345" i="1" s="1"/>
  <c r="E334" i="1"/>
  <c r="F334" i="1" s="1"/>
  <c r="E333" i="1"/>
  <c r="F333" i="1" s="1"/>
  <c r="E332" i="1"/>
  <c r="F332" i="1" s="1"/>
  <c r="E331" i="1"/>
  <c r="F331" i="1" s="1"/>
  <c r="E330" i="1"/>
  <c r="F330" i="1" s="1"/>
  <c r="E329" i="1"/>
  <c r="F329" i="1" s="1"/>
  <c r="E328" i="1"/>
  <c r="F328" i="1" s="1"/>
  <c r="E327" i="1"/>
  <c r="F327" i="1" s="1"/>
  <c r="E326" i="1"/>
  <c r="F326" i="1" s="1"/>
  <c r="E325" i="1"/>
  <c r="F325" i="1" s="1"/>
  <c r="E324" i="1"/>
  <c r="F324" i="1" s="1"/>
  <c r="E323" i="1"/>
  <c r="F323" i="1" s="1"/>
  <c r="E322" i="1"/>
  <c r="F322" i="1" s="1"/>
  <c r="F309" i="1"/>
  <c r="F308" i="1"/>
  <c r="F310" i="1"/>
  <c r="F292" i="1"/>
  <c r="F291" i="1"/>
  <c r="F290" i="1"/>
  <c r="F289" i="1"/>
  <c r="F288" i="1"/>
  <c r="F287" i="1"/>
  <c r="E307" i="1"/>
  <c r="F307" i="1" s="1"/>
  <c r="E306" i="1"/>
  <c r="F306" i="1" s="1"/>
  <c r="E305" i="1"/>
  <c r="F305" i="1" s="1"/>
  <c r="E304" i="1"/>
  <c r="F304" i="1" s="1"/>
  <c r="E303" i="1"/>
  <c r="F303" i="1" s="1"/>
  <c r="E301" i="1"/>
  <c r="F301" i="1" s="1"/>
  <c r="E300" i="1"/>
  <c r="F300" i="1" s="1"/>
  <c r="E299" i="1"/>
  <c r="F299" i="1" s="1"/>
  <c r="E298" i="1"/>
  <c r="F298" i="1" s="1"/>
  <c r="E297" i="1"/>
  <c r="F297" i="1" s="1"/>
  <c r="E296" i="1"/>
  <c r="F296" i="1" s="1"/>
  <c r="E295" i="1"/>
  <c r="F295" i="1" s="1"/>
  <c r="E294" i="1"/>
  <c r="F294" i="1" s="1"/>
  <c r="E293" i="1"/>
  <c r="F293" i="1" s="1"/>
  <c r="F248" i="1" l="1"/>
  <c r="R150" i="1"/>
  <c r="R146" i="1"/>
  <c r="R151" i="1" s="1"/>
  <c r="F220" i="1"/>
  <c r="E234" i="1"/>
  <c r="F234" i="1" s="1"/>
  <c r="F268" i="1"/>
  <c r="F269" i="1"/>
  <c r="F216" i="1"/>
  <c r="E231" i="1"/>
  <c r="F231" i="1" s="1"/>
  <c r="F167" i="1"/>
  <c r="F86" i="1"/>
  <c r="F166" i="1"/>
  <c r="R133" i="1"/>
  <c r="R137" i="1"/>
  <c r="R141" i="1"/>
  <c r="R145" i="1"/>
  <c r="R149" i="1"/>
  <c r="F85" i="1" l="1"/>
  <c r="F92" i="1" l="1"/>
  <c r="F91" i="1"/>
  <c r="F90" i="1"/>
  <c r="F143" i="1" l="1"/>
  <c r="F98" i="1"/>
  <c r="F97" i="1"/>
  <c r="F139" i="1"/>
  <c r="F135" i="1"/>
  <c r="F71" i="1"/>
  <c r="F77" i="1"/>
  <c r="F80" i="1"/>
  <c r="F68" i="1"/>
  <c r="F74" i="1"/>
  <c r="F96" i="1"/>
  <c r="F102" i="1"/>
  <c r="F104" i="1" l="1"/>
  <c r="F103" i="1"/>
  <c r="F147" i="1"/>
  <c r="F110" i="1" l="1"/>
  <c r="F109" i="1"/>
  <c r="F151" i="1"/>
  <c r="F108" i="1"/>
  <c r="F114" i="1" l="1"/>
  <c r="F116" i="1"/>
  <c r="F115" i="1"/>
  <c r="F70" i="1"/>
  <c r="F73" i="1" l="1"/>
  <c r="F149" i="1"/>
  <c r="F137" i="1"/>
  <c r="F76" i="1"/>
  <c r="F145" i="1"/>
  <c r="F67" i="1"/>
  <c r="F120" i="1"/>
  <c r="F122" i="1"/>
  <c r="F121" i="1"/>
  <c r="F141" i="1"/>
  <c r="F79" i="1"/>
  <c r="F133" i="1"/>
  <c r="F126" i="1" l="1"/>
  <c r="F128" i="1"/>
  <c r="F127" i="1"/>
  <c r="F81" i="1" l="1"/>
  <c r="F107" i="1"/>
  <c r="F89" i="1"/>
  <c r="F101" i="1"/>
  <c r="F119" i="1"/>
  <c r="F95" i="1"/>
  <c r="F125" i="1"/>
  <c r="F113" i="1"/>
  <c r="F83" i="1"/>
  <c r="F52" i="1"/>
  <c r="E8" i="8" l="1"/>
  <c r="D9" i="8"/>
  <c r="C15" i="8"/>
  <c r="E12" i="8"/>
  <c r="D13" i="8"/>
  <c r="C12" i="8"/>
  <c r="E15" i="8"/>
  <c r="D17" i="8"/>
  <c r="C8" i="8"/>
  <c r="E14" i="8"/>
  <c r="D15" i="8"/>
  <c r="C9" i="8"/>
  <c r="E22" i="8"/>
  <c r="E3" i="8"/>
  <c r="D6" i="8"/>
  <c r="C20" i="8"/>
  <c r="E4" i="8"/>
  <c r="D8" i="8"/>
  <c r="C17" i="8"/>
  <c r="E11" i="8"/>
  <c r="D12" i="8"/>
  <c r="C13" i="8"/>
  <c r="E9" i="8"/>
  <c r="D11" i="8"/>
  <c r="C14" i="8"/>
  <c r="E18" i="8"/>
  <c r="D19" i="8"/>
  <c r="C5" i="8"/>
  <c r="E21" i="8"/>
  <c r="D22" i="8"/>
  <c r="D3" i="8"/>
  <c r="C18" i="8"/>
  <c r="E5" i="8"/>
  <c r="D4" i="8"/>
  <c r="C22" i="8"/>
  <c r="E6" i="8"/>
  <c r="D5" i="8"/>
  <c r="C19" i="8"/>
  <c r="E13" i="8"/>
  <c r="D14" i="8"/>
  <c r="C11" i="8"/>
  <c r="E17" i="8"/>
  <c r="D18" i="8"/>
  <c r="C6" i="8"/>
  <c r="E20" i="8"/>
  <c r="D21" i="8"/>
  <c r="C3" i="8"/>
  <c r="E19" i="8"/>
  <c r="D20" i="8"/>
  <c r="C4" i="8"/>
  <c r="C21" i="8"/>
</calcChain>
</file>

<file path=xl/sharedStrings.xml><?xml version="1.0" encoding="utf-8"?>
<sst xmlns="http://schemas.openxmlformats.org/spreadsheetml/2006/main" count="1588" uniqueCount="928">
  <si>
    <t>Classe</t>
  </si>
  <si>
    <t>Codice</t>
  </si>
  <si>
    <t>Descrizione</t>
  </si>
  <si>
    <t>Prezzo 2016</t>
  </si>
  <si>
    <t>Max</t>
  </si>
  <si>
    <t>Imponibile</t>
  </si>
  <si>
    <t xml:space="preserve"> Lampade</t>
  </si>
  <si>
    <t>Prevalenza (m)</t>
  </si>
  <si>
    <t>Uscita</t>
  </si>
  <si>
    <t>Portata</t>
  </si>
  <si>
    <t>Potenza (W)</t>
  </si>
  <si>
    <t>Capacità termica max (mc)</t>
  </si>
  <si>
    <t>Vol (l)</t>
  </si>
  <si>
    <t>Spessore</t>
  </si>
  <si>
    <t>Dimensioni scatolato</t>
  </si>
  <si>
    <t>Dimensioni (h x Ø x p) mm</t>
  </si>
  <si>
    <t>Peso (kg)</t>
  </si>
  <si>
    <t>Sterilizzatori UV-C</t>
  </si>
  <si>
    <t>PAN_UV_EASY_111</t>
  </si>
  <si>
    <t>Sterilizzatore UV-C in PEAD da 11 watt</t>
  </si>
  <si>
    <t>PAN_UV_EASY_116</t>
  </si>
  <si>
    <t>Sterilizzatore UV-C in PEAD da 16 watt</t>
  </si>
  <si>
    <t>PAN_UV_EASY_130</t>
  </si>
  <si>
    <t>Sterilizzatore UV-C in PEAD da 30 watt</t>
  </si>
  <si>
    <t>PAN_UV_EASYMS_130</t>
  </si>
  <si>
    <t>Sterilizzatore UV-C in PEAD da 30 watt con MonoScluv</t>
  </si>
  <si>
    <t>PAN_UV_EASYMS_140</t>
  </si>
  <si>
    <t>Sterilizzatore UV-C in PEAD da 40 watt con MonoScluv</t>
  </si>
  <si>
    <t>PAN_UV_ECO_240</t>
  </si>
  <si>
    <t>Sterilizzatore UV-C in PEAD da 2x40 watt con quadro ECO</t>
  </si>
  <si>
    <t>PAN_UV_ECO_440</t>
  </si>
  <si>
    <t>Sterilizzatore UV-C in PEAD da 4x40 watt con quadro ECO</t>
  </si>
  <si>
    <t>PAN_UV_HI_440</t>
  </si>
  <si>
    <t>Sterilizzatore UV-C in PEAD da 4x40 watt con quadro HI</t>
  </si>
  <si>
    <t>PAN_UV_HI_475</t>
  </si>
  <si>
    <t>Sterilizzatore UV-C in PEAD da 4x75 watt con quadro HI</t>
  </si>
  <si>
    <t>PAN_UV_HI_575</t>
  </si>
  <si>
    <t>Sterilizzatore UV-C in PEAD da 5x75 watt con quadro HI</t>
  </si>
  <si>
    <t>PAN_UV_HI_575_P</t>
  </si>
  <si>
    <t>Sterilizzatore UV-C in PEAD da 5x75 watt con quadro HI per Alta Pressione</t>
  </si>
  <si>
    <t>PAN_UV_HI_675</t>
  </si>
  <si>
    <t>Sterilizzatore UV-C in PEAD da 6x75 watt con quadro HI</t>
  </si>
  <si>
    <t>PAN_UV_HI_675_P</t>
  </si>
  <si>
    <t>Sterilizzatore UV-C in PEAD da 6x75 watt con quadro HI per Alta Pressione</t>
  </si>
  <si>
    <t>PAN_UV_HI_8145</t>
  </si>
  <si>
    <t>Sterilizzatore UV-C in PEAD da 8x145 watt con quadro HI</t>
  </si>
  <si>
    <t>PAN_UV_AM_2200</t>
  </si>
  <si>
    <t>PE61 DN100 440W</t>
  </si>
  <si>
    <t>PAN_UV_AM_2400</t>
  </si>
  <si>
    <t>PE110 DN150 880W</t>
  </si>
  <si>
    <t>PAN_UV_AM_3400</t>
  </si>
  <si>
    <t>PE150 DN200 1300W</t>
  </si>
  <si>
    <t>PAN_UV_AM_4400</t>
  </si>
  <si>
    <t>PE250 DN250 1760W</t>
  </si>
  <si>
    <t>PAN_UV_AM_5400</t>
  </si>
  <si>
    <t>PE340 DN250 2180W</t>
  </si>
  <si>
    <t>PAN_UV_AM_7400</t>
  </si>
  <si>
    <t>PE470 DN300 3100W</t>
  </si>
  <si>
    <t>PAN_UV_PRESS_70</t>
  </si>
  <si>
    <t>Sterilizzatore UV-C in inox a media pressione</t>
  </si>
  <si>
    <t>PAN_UV_PRESS_120</t>
  </si>
  <si>
    <t>PAN_UV_PRESS_170</t>
  </si>
  <si>
    <t>PAN_C_111</t>
  </si>
  <si>
    <t>Collettore per PAN_UV_EASY_111</t>
  </si>
  <si>
    <t>PAN_C_116</t>
  </si>
  <si>
    <t>Collettore per PAN_UV_EASY_116</t>
  </si>
  <si>
    <t>PAN_C_130</t>
  </si>
  <si>
    <t>Collettore per PAN_UV_EASY_130 e PAN_UV_ECO_130</t>
  </si>
  <si>
    <t>PAN_C_140</t>
  </si>
  <si>
    <t>Collettore per PAN_UV_ECO_140</t>
  </si>
  <si>
    <t>PAN_C_240</t>
  </si>
  <si>
    <t>Collettore per PAN_UV_ECO_240</t>
  </si>
  <si>
    <t>PAN_C_440</t>
  </si>
  <si>
    <t>Collettore per PAN_UV_ECO_440 e PAN_UV_HI_440</t>
  </si>
  <si>
    <t>PAN_C_475</t>
  </si>
  <si>
    <t>Collettore per PAN_UV_HI_475</t>
  </si>
  <si>
    <t>PAN_C_575</t>
  </si>
  <si>
    <t>Collettore per PAN_UV_HI_575</t>
  </si>
  <si>
    <t>PAN_C_575_P</t>
  </si>
  <si>
    <t>Collettore per PAN_UV_HI_575 Alta Pressione</t>
  </si>
  <si>
    <t>PAN_C_675</t>
  </si>
  <si>
    <t>Collettore per PAN_UV_HI_675</t>
  </si>
  <si>
    <t>PAN_C_675_P</t>
  </si>
  <si>
    <t>Collettore per PAN_UV_HI_675 Alta Pressione</t>
  </si>
  <si>
    <t>PAN_C_680</t>
  </si>
  <si>
    <t>Collettore per PAN_UV_HI_680</t>
  </si>
  <si>
    <t>PAN_C_8145</t>
  </si>
  <si>
    <t>Collettore per PAN_UV_HI_8145</t>
  </si>
  <si>
    <t>PAN_MONOSCLUV</t>
  </si>
  <si>
    <t>Alimentatore monoscluv</t>
  </si>
  <si>
    <t>PAN_028012</t>
  </si>
  <si>
    <t>Alimentatore 11 watt</t>
  </si>
  <si>
    <t>PAN_028021</t>
  </si>
  <si>
    <t>Alimentatore 16 watt</t>
  </si>
  <si>
    <t>PAN_2573</t>
  </si>
  <si>
    <t>Alimentatore 30 watt</t>
  </si>
  <si>
    <t>PAN_Q_ECO_130</t>
  </si>
  <si>
    <t xml:space="preserve">Quadro UV ECO 1x30 </t>
  </si>
  <si>
    <t>PAN_Q_ECO_140</t>
  </si>
  <si>
    <t xml:space="preserve">Quadro UV ECO 1x40 </t>
  </si>
  <si>
    <t>PAN_Q_ECO_240</t>
  </si>
  <si>
    <t xml:space="preserve">Quadro UV ECO 2x40 </t>
  </si>
  <si>
    <t>PAN_Q_ECO_440</t>
  </si>
  <si>
    <t>Quadro UV ECO 4x40</t>
  </si>
  <si>
    <t>PAN_Q_HI_440</t>
  </si>
  <si>
    <t>Quadro UV HI 4x40</t>
  </si>
  <si>
    <t>PAN_Q_HI_475</t>
  </si>
  <si>
    <t>Quadro UV HI 4x75</t>
  </si>
  <si>
    <t>PAN_Q_HI_575</t>
  </si>
  <si>
    <t>PAN_Q_HI_675</t>
  </si>
  <si>
    <t>Quadro UV HI 6x75</t>
  </si>
  <si>
    <t>PAN_Q_HI_680</t>
  </si>
  <si>
    <t>Quadro UV HI 6x80</t>
  </si>
  <si>
    <t>PAN_Q_HI_8145</t>
  </si>
  <si>
    <t>Quadro UV HI 8x145</t>
  </si>
  <si>
    <t>PAN_Q_HI_10145</t>
  </si>
  <si>
    <t>Quadro UV HI 10x145</t>
  </si>
  <si>
    <t>Quadri controllo</t>
  </si>
  <si>
    <t>PAN_Q_SICOV_ECO</t>
  </si>
  <si>
    <t>Sicov_Eco Quadro controllo livello/temp/flux/skm/attuatore + sonda PT100</t>
  </si>
  <si>
    <t>PAN_Q_SICOV_ECO_GSM</t>
  </si>
  <si>
    <t>Sicov_Eco Quadro controllo livello/temp/flux/skm/attuatore + sonda PT100 con combinatore GSM</t>
  </si>
  <si>
    <t>PAN_COMB_GSM</t>
  </si>
  <si>
    <t>Combinatore GSM per Sicov e Scluv</t>
  </si>
  <si>
    <t>PAN_Q_SAF</t>
  </si>
  <si>
    <t>Sistema di automazione filtri</t>
  </si>
  <si>
    <t>PAN_Q_SiCoT</t>
  </si>
  <si>
    <t>Sistema di controllo terrario</t>
  </si>
  <si>
    <t>Quadro elettrico di alimentazione certificato</t>
  </si>
  <si>
    <t>PAN_LAMP_11W</t>
  </si>
  <si>
    <t>Lampada UV-C 11w</t>
  </si>
  <si>
    <t>PAN_LAMP_16W</t>
  </si>
  <si>
    <t>Lampada UV-C 16W</t>
  </si>
  <si>
    <t>PAN_LAMP_30W</t>
  </si>
  <si>
    <t>Lampada UV-C 30W</t>
  </si>
  <si>
    <t>PAN_LAMP_40</t>
  </si>
  <si>
    <t>Lampada UV-C 40W</t>
  </si>
  <si>
    <t>PAN_LAMP_75</t>
  </si>
  <si>
    <t>Lampada UV-C 75W</t>
  </si>
  <si>
    <t>PAN_LAMP_80W</t>
  </si>
  <si>
    <t>Lampada UV-C 80W</t>
  </si>
  <si>
    <t>PAN_LAMP_145</t>
  </si>
  <si>
    <t>Lampada UV-C 145W</t>
  </si>
  <si>
    <t xml:space="preserve">PAN_QU_11W  </t>
  </si>
  <si>
    <t>Quarzo 11w</t>
  </si>
  <si>
    <t xml:space="preserve">PAN_QU_16W  </t>
  </si>
  <si>
    <t>Quarzo 16 w</t>
  </si>
  <si>
    <t xml:space="preserve">PAN_QU_30W </t>
  </si>
  <si>
    <t>Quarzo 30 w</t>
  </si>
  <si>
    <t xml:space="preserve">PAN_QU_40W  </t>
  </si>
  <si>
    <t>Quarzo 40 w</t>
  </si>
  <si>
    <t xml:space="preserve">PAN_CCT  </t>
  </si>
  <si>
    <t>Tappo Copricontatto</t>
  </si>
  <si>
    <t xml:space="preserve">PAN_BG </t>
  </si>
  <si>
    <t xml:space="preserve">Bloccaguaina nylon </t>
  </si>
  <si>
    <t>PAN_MOLLA</t>
  </si>
  <si>
    <t xml:space="preserve">Molla supporto lampade </t>
  </si>
  <si>
    <t xml:space="preserve">PAN_UV_PIN </t>
  </si>
  <si>
    <t xml:space="preserve">Quadripin </t>
  </si>
  <si>
    <t>PAN_KIT_Sensore_I_UVC_HI</t>
  </si>
  <si>
    <t>KIT sensore di irraggiamento 254 nm con vetrino</t>
  </si>
  <si>
    <t>PAN_KIT_Sensore_I_UVC_HI_T</t>
  </si>
  <si>
    <t>KIT sensore di irraggiamento 254 nm in Teflon</t>
  </si>
  <si>
    <t>PAN_KIT_Sensore_F_D110</t>
  </si>
  <si>
    <t>KIT sensore flowmeter e staffa (varie misure fino a D110)</t>
  </si>
  <si>
    <t>PAN_KIT_Sensore_F_D200</t>
  </si>
  <si>
    <t>PAN_TC145</t>
  </si>
  <si>
    <t>Accenditore lampada 145 w</t>
  </si>
  <si>
    <t>PAN_TC126</t>
  </si>
  <si>
    <t>Accenditore lampada 40 w</t>
  </si>
  <si>
    <t>PAN_Kitcopricontatto1_60</t>
  </si>
  <si>
    <t>Kit copricontatto per UV con cavo da 1,60mt</t>
  </si>
  <si>
    <t>PAN_Kitcopricontatto_5</t>
  </si>
  <si>
    <t>Kit copricontatto per UV con cavo da 5mt</t>
  </si>
  <si>
    <t>PAN_Kitcopricontatto_8</t>
  </si>
  <si>
    <t>Kit copricontatto per UV con cavo da 8 mt</t>
  </si>
  <si>
    <t>PAN_LEV_DRY</t>
  </si>
  <si>
    <t>Sensore pressione 1-7bar 4-20mA GF immersione parziale GF_159000906</t>
  </si>
  <si>
    <t>PAN_LEV_WET</t>
  </si>
  <si>
    <t>Sensore pressione 1-7bar 4-20mA GF immersione totale GF_159001482</t>
  </si>
  <si>
    <t>PAN_KIT_Sensore_T_D90</t>
  </si>
  <si>
    <t>Kit sensore temperatura (PT100 Sekat) con Tee D90+riduzioni+portasonda 1/2" IS_45_PZ111114</t>
  </si>
  <si>
    <t>PAN_KIT_Sensore_T_D75</t>
  </si>
  <si>
    <t>Kit sensore temperatura (PT100 Sekat) con Tee D75+riduzioni+portasonda 1/2" IS_45_PZ111114</t>
  </si>
  <si>
    <t>PAN_KIT_Sensore_T_D63</t>
  </si>
  <si>
    <t>Kit sensore temperatura (PT100 Sekat) con Tee D63+riduzioni+portasonda 1/2" IS_45_PZ111114</t>
  </si>
  <si>
    <t>PAN_KIT_Sensore_T_D50</t>
  </si>
  <si>
    <t>Kit sensore temperatura (PT100 Sekat) con Tee D50+riduzioni+portasonda 1/2" IS_45_PZ111114</t>
  </si>
  <si>
    <t>PAN_KIT_Sensore_T_D40</t>
  </si>
  <si>
    <t>Kit sensore temperatura (PT100 Sekat) con Tee D40+riduzioni+portasonda 1/2" IS_45_PZ111114</t>
  </si>
  <si>
    <t>PAN_KIT_Sensore_T_D32</t>
  </si>
  <si>
    <t>Kit sensore temperatura (PT100 Sekat) con Tee D32+riduzioni+portasonda 1/2" IS_45_PZ111114</t>
  </si>
  <si>
    <t>PAN_KIT_Sensore_T_D25</t>
  </si>
  <si>
    <t>Kit sensore temperatura (PT100 Sekat) con Tee D25+riduzioni+portasonda 1/2" IS_45_PZ111114</t>
  </si>
  <si>
    <t>PAN_SENS_DO_T_485</t>
  </si>
  <si>
    <t>Kit sensore DO in RS485 senza supporto</t>
  </si>
  <si>
    <t>PAN_SENS_PH_485</t>
  </si>
  <si>
    <t>Kit sensore pH completo di trasmettitore (PH3436) di staffa (SZ7101) ed elettrodo (SZ195.2)</t>
  </si>
  <si>
    <t>PAN_SENS_TGP_485</t>
  </si>
  <si>
    <t>Kit sensore gas totali disciolti completo di trasmettitore P4 Penta Air</t>
  </si>
  <si>
    <t>PAN_SENS_ORP_485</t>
  </si>
  <si>
    <t>Kit sensore pH completo di trasmettitore (PH3436) di staffa (SZ7101) ed elettrodo (SZ255)</t>
  </si>
  <si>
    <t>PAN_SENS_C_485</t>
  </si>
  <si>
    <t>Kit sensore conducibilità completo di trasmettitore (C3436) di staffa (SZ7101) ed elettrodo (SZ 3273.1)</t>
  </si>
  <si>
    <t>PAN_SENS_TU_485</t>
  </si>
  <si>
    <t>Kit sensore torbidità con metodo nefelometrico TU8525</t>
  </si>
  <si>
    <t>PAN_SENS_TU_LOW_485</t>
  </si>
  <si>
    <t>Kit sensore torbidità con metodo nefelometrico, bassa torbidità TU8525 e TU910</t>
  </si>
  <si>
    <t>PAN_PROBE_T_PT100</t>
  </si>
  <si>
    <t>sonda temperatura PT100 di Sekat</t>
  </si>
  <si>
    <t>Attuatore Belimo per valvola farfalla SR24A-R+ZSFV-XX + S2A</t>
  </si>
  <si>
    <t>PAN_INT_PSK</t>
  </si>
  <si>
    <t>Galleggiante consenso PSK</t>
  </si>
  <si>
    <t>Protein Skimmer</t>
  </si>
  <si>
    <t>HYDOR SKIMMER PERFORMER 100/450+pompa Selz 30</t>
  </si>
  <si>
    <t>HYDOR SKIMMER PERFORMER 120/550+pompa Selz 30</t>
  </si>
  <si>
    <t>HYDOR SKIMMER PERFORMER 150/800+pompa Selz 30</t>
  </si>
  <si>
    <t>PAN_PSK_200plus</t>
  </si>
  <si>
    <t>Skm200plus/ h 1000</t>
  </si>
  <si>
    <t>PAN_PSK_500</t>
  </si>
  <si>
    <t>Skm500/ h 1300</t>
  </si>
  <si>
    <t>PAN_PSK_600</t>
  </si>
  <si>
    <t>PAN_PSK_800</t>
  </si>
  <si>
    <t>PAN_PSK_1000</t>
  </si>
  <si>
    <t>PAN_PSK_1000plus</t>
  </si>
  <si>
    <t>Skm1000/ h 2000+ val. mot.</t>
  </si>
  <si>
    <t>PAN_PSK_1200</t>
  </si>
  <si>
    <t>PAN_PSK_2000</t>
  </si>
  <si>
    <t>Ozono</t>
  </si>
  <si>
    <t>PAN_OZG_1</t>
  </si>
  <si>
    <t>Ozone generator 1g O3/h</t>
  </si>
  <si>
    <t>PAN_OZG_2</t>
  </si>
  <si>
    <t>Ozone generator 2g O3/h</t>
  </si>
  <si>
    <t>PAN_OZG_3</t>
  </si>
  <si>
    <t>Ozone generator 3g O3/h</t>
  </si>
  <si>
    <t>PAN_OZG_4</t>
  </si>
  <si>
    <t>Ozone generator 4g O3/h</t>
  </si>
  <si>
    <t>PAN_OZG_7</t>
  </si>
  <si>
    <t>Ozone generator 7g O3/h</t>
  </si>
  <si>
    <t>PAN_OZG_15</t>
  </si>
  <si>
    <t>Ozone generator 15g O3/h</t>
  </si>
  <si>
    <t>Pompe Trasc. Magnetico</t>
  </si>
  <si>
    <t>PAN_PUMP_TM_009</t>
  </si>
  <si>
    <t>Pompa a trascinamento magnetico con basamento</t>
  </si>
  <si>
    <t>PAN_PUMP_TM_012</t>
  </si>
  <si>
    <t>PAN_PUMP_TM_025</t>
  </si>
  <si>
    <t>PAN_PUMP_TM_055</t>
  </si>
  <si>
    <t>PAN_PUMP_TM_055_T</t>
  </si>
  <si>
    <t>PAN_PUMP_TM_110</t>
  </si>
  <si>
    <t>PAN_PUMP_TM_110_T</t>
  </si>
  <si>
    <t>PAN_PUMP_TM_150_T</t>
  </si>
  <si>
    <t>PAN_PUMP_TM_220_T</t>
  </si>
  <si>
    <t>PAN_PUMP_TM_300_T</t>
  </si>
  <si>
    <t>PAN_PUMP_TM_400_T</t>
  </si>
  <si>
    <t>Pompe Autoadescanti</t>
  </si>
  <si>
    <t>PAN_PUMP_033</t>
  </si>
  <si>
    <t>Victoria Plus AS_41224</t>
  </si>
  <si>
    <t>PAN_PUMP_050</t>
  </si>
  <si>
    <t>Victoria Plus AS_38769</t>
  </si>
  <si>
    <t>PAN_PUMP_050_T</t>
  </si>
  <si>
    <t>Victoria Plus 38770</t>
  </si>
  <si>
    <t>PAN_PUMP_075</t>
  </si>
  <si>
    <t>Victoria Plus AS_38771</t>
  </si>
  <si>
    <t>PAN_PUMP_075_T</t>
  </si>
  <si>
    <t>Victoria Plus 38772</t>
  </si>
  <si>
    <t>PAN_PUMP_100</t>
  </si>
  <si>
    <t>Victoria Plus AS_38773</t>
  </si>
  <si>
    <t>PAN_PUMP_100_T</t>
  </si>
  <si>
    <t>Victoria Plus AS_38774</t>
  </si>
  <si>
    <t>PAN_PUMP_150</t>
  </si>
  <si>
    <t>Victoria Plus AS_38775</t>
  </si>
  <si>
    <t>PAN_PUMP_150_T</t>
  </si>
  <si>
    <t>Victoria Plus AS_38776</t>
  </si>
  <si>
    <t>PAN_PUMP_200</t>
  </si>
  <si>
    <t>Victoria Plus AS_38777</t>
  </si>
  <si>
    <t>PAN_PUMP_200_T</t>
  </si>
  <si>
    <t>Victoria Plus AS_38778</t>
  </si>
  <si>
    <t>PAN_PUMP_250</t>
  </si>
  <si>
    <t>Victoria Plus AS_53675</t>
  </si>
  <si>
    <t>PAN_PUMP_300</t>
  </si>
  <si>
    <t>Victoria Plus AS_38779</t>
  </si>
  <si>
    <t>PAN_PUMP_300_T</t>
  </si>
  <si>
    <t>Victoria Plus AS_38780</t>
  </si>
  <si>
    <t>Base pompa in plastica AK_81990100</t>
  </si>
  <si>
    <t>Base pompa in plastica AK_867401000</t>
  </si>
  <si>
    <t>Compressori</t>
  </si>
  <si>
    <t>PAN_COMP_DRY_200_M</t>
  </si>
  <si>
    <t>Gruppo compressore silenziato a pistoni bistadio con cilindro e testa in ghisa, integrato di serbatoio ed essiccatore. Sistema di raffreddamento con ventola di grande diametro. Cabina insonorizzata con materiale fonoassorbente (65dB). Essiccatore incorporato con scarico condensa automatico che garantisce aria secca in uscita dal compressore. Misure 147 x 66 x 114 cm. Peso 161 kg. Potenza 3 HP. Monofase. Quantità d’aria aspirata 340 lt/min (resa 75%).</t>
  </si>
  <si>
    <t>PAN_COMP_DRY_200_T</t>
  </si>
  <si>
    <t>Gruppo compressore silenziato a pistoni bistadio con cilindro e testa in ghisa, integrato di serbatoio ed essiccatore. Sistema di raffreddamento con ventola di grande diametro. Cabina insonorizzata con materiale fonoassorbente (65dB). Essiccatore incorporato con scarico condensa automatico che garantisce aria secca in uscita dal compressore. Misure 147 x 66 x 114 cm. Peso 161 kg. Potenza 3 HP. Trifase. Quantità d’aria aspirata 340 lt/min (resa 75%).</t>
  </si>
  <si>
    <t>PAN_COMP_50_M</t>
  </si>
  <si>
    <t xml:space="preserve">Gruppo compressore d’aria bicilindrico collegato al motore elettrico mediante cinghia trapezoidale con riparo. Serbatoio in lamiera d’acciaio da 50 lt carrellato. Collaudato a norma CE. Pressostato con interruttore marcia-arresto, valvola di sicurezza, riduttore di pressione e manometro. Misure 95 x 42 x 70 cm. Peso 48 kg. Potenza 2 HP. Monofase. Quantità d’aria aspirata 282 lt/min (resa 75%). </t>
  </si>
  <si>
    <t>PAN_COMP_50_T</t>
  </si>
  <si>
    <t xml:space="preserve">Gruppo compressore d’aria bicilindrico collegato al motore elettrico mediante cinghia trapezoidale con riparo. Serbatoio in lamiera d’acciaio da 50 lt carrellato. Collaudato a norma CE. Pressostato con interruttore marcia-arresto, valvola di sicurezza, riduttore di pressione e manometro. Misure 95 x 42 x 70 cm. Peso 48 kg. Potenza 2 HP. Trifase. Quantità d’aria aspirata 282 lt/min (resa 75%). </t>
  </si>
  <si>
    <t>PAN_DRYER_400</t>
  </si>
  <si>
    <t>Essiccatore d’aria bassa pressione. Portata @ 7bar 400 lt/min. Misure 220x560x460. Peso 21 kg</t>
  </si>
  <si>
    <t>Filtri</t>
  </si>
  <si>
    <t>PAN_Filtro_M_L_400</t>
  </si>
  <si>
    <t>Filtro a sabbia D400 lateral</t>
  </si>
  <si>
    <t>1 1/2"</t>
  </si>
  <si>
    <t>PAN_Filtro_M_L_500</t>
  </si>
  <si>
    <t>Filtro a sabbia D500 lateral</t>
  </si>
  <si>
    <t>PAN_Filtro_M_L_600</t>
  </si>
  <si>
    <t>Filtro a sabbia D600 lateral</t>
  </si>
  <si>
    <t>PAN_Filtro_M_L_750</t>
  </si>
  <si>
    <t>Filtro a sabbia D750 lateral</t>
  </si>
  <si>
    <t>2"</t>
  </si>
  <si>
    <t>PAN_Filtro_M_L_900</t>
  </si>
  <si>
    <t>Filtro a sabbia D900 lateral</t>
  </si>
  <si>
    <t>2 1/2"</t>
  </si>
  <si>
    <t>PAN_Filtro_M_L_400_VALV</t>
  </si>
  <si>
    <t>Filtro a sabbia D400 lateral + valvola selettrice</t>
  </si>
  <si>
    <t>PAN_Filtro_M_L_500_VALV</t>
  </si>
  <si>
    <t>Filtro a sabbia D500 lateral + valvola selettrice</t>
  </si>
  <si>
    <t>PAN_Filtro_M_L_600_VALV</t>
  </si>
  <si>
    <t>Filtro a sabbia D600 lateral + valvola selettrice</t>
  </si>
  <si>
    <t>PAN_Filtro_M_L_750_VALV</t>
  </si>
  <si>
    <t>Filtro a sabbia D750 lateral + valvola selettrice</t>
  </si>
  <si>
    <t>PAN_Filtro_M_L_900_VALV</t>
  </si>
  <si>
    <t>Filtro a sabbia D900 lateral + valvola selettrice</t>
  </si>
  <si>
    <t>PAN_Filtro_M_L_400_Compl_q</t>
  </si>
  <si>
    <t>Filtro a sabbia D400 lateral + valvola selettrice + sabbia di quarzo</t>
  </si>
  <si>
    <t>PAN_Filtro_M_L_500_Compl_q</t>
  </si>
  <si>
    <t>Filtro a sabbia D500 lateral + valvola selettrice + sabbia di quarzo</t>
  </si>
  <si>
    <t>PAN_Filtro_M_L_600_Compl_q</t>
  </si>
  <si>
    <t>Filtro a sabbia D600 lateral + valvola selettrice + sabbia di quarzo</t>
  </si>
  <si>
    <t>PAN_Filtro_M_L_750_Compl_q</t>
  </si>
  <si>
    <t>Filtro a sabbia D750 lateral + valvola selettrice + sabbia di quarzo</t>
  </si>
  <si>
    <t>PAN_Filtro_M_L_900_Compl_q</t>
  </si>
  <si>
    <t>Filtro a sabbia D900 lateral + valvola selettrice + sabbia di quarzo</t>
  </si>
  <si>
    <t>PAN_Filtro_M_L_400_Compl_v</t>
  </si>
  <si>
    <t>Filtro a sabbia D400 lateral + valvola selettrice + vetro</t>
  </si>
  <si>
    <t>PAN_Filtro_M_L_500_Compl_v</t>
  </si>
  <si>
    <t>Filtro a sabbia D500 lateral + valvola selettrice + vetro</t>
  </si>
  <si>
    <t>PAN_Filtro_M_L_600_Compl_v</t>
  </si>
  <si>
    <t>Filtro a sabbia D600 lateral + valvola selettrice + vetro</t>
  </si>
  <si>
    <t>PAN_Filtro_M_L_750_Compl_v</t>
  </si>
  <si>
    <t>Filtro a sabbia D750 lateral + valvola selettrice + vetro</t>
  </si>
  <si>
    <t>PAN_Filtro_M_L_900_Compl_v</t>
  </si>
  <si>
    <t>Filtro a sabbia D900 lateral + valvola selettrice + vetro</t>
  </si>
  <si>
    <t>PAN_FIL_650</t>
  </si>
  <si>
    <t>Filtro alto rendimento Artic Plus con piastra filtrazione Astral D650</t>
  </si>
  <si>
    <t>PAN_FIL_800</t>
  </si>
  <si>
    <t>Filtro alto rendimento Artic Plus con piastra filtrazione Astral D800</t>
  </si>
  <si>
    <t>PAN_FIL_950</t>
  </si>
  <si>
    <t>Filtro alto rendimento Artic Plus con piastra filtrazione Astral D950</t>
  </si>
  <si>
    <t>PAN_FIL_1050</t>
  </si>
  <si>
    <t>Filtro alto rendimento Artic Plus con piastra filtrazione Astral D1050</t>
  </si>
  <si>
    <t>3"</t>
  </si>
  <si>
    <t>PAN_FIL_1200</t>
  </si>
  <si>
    <t>Filtro alto rendimento Artic Plus con piastra filtrazione Astral D1200</t>
  </si>
  <si>
    <t>4"</t>
  </si>
  <si>
    <t>PAN_FIL_650_Q</t>
  </si>
  <si>
    <t>Filtro alto rendimento Artic Plus con piastra filtrazione Astral con sabbia di quarzo D650</t>
  </si>
  <si>
    <t>PAN_FIL_800_Q</t>
  </si>
  <si>
    <t>Filtro alto rendimento Artic Plus con piastra filtrazione Astral con sabbia di quarzo D800</t>
  </si>
  <si>
    <t>PAN_FIL_950_Q</t>
  </si>
  <si>
    <t>Filtro alto rendimento Artic Plus con piastra filtrazione Astral con sabbia di quarzo D950</t>
  </si>
  <si>
    <t>PAN_FIL_1050_Q</t>
  </si>
  <si>
    <t>Filtro alto rendimento Artic Plus con piastra filtrazione Astral con sabbia di quarzo D1050</t>
  </si>
  <si>
    <t>PAN_FIL_1200_Q</t>
  </si>
  <si>
    <t>Filtro alto rendimento Artic Plus con piastra filtrazione Astral con sabbia di quarzo D1200</t>
  </si>
  <si>
    <t>Filtro alto rendimento Artic Plus con piastra filtrazione Astral con sabbia di vetro D650</t>
  </si>
  <si>
    <t>Filtro alto rendimento Artic Plus con piastra filtrazione Astral con sabbia di vetro D800</t>
  </si>
  <si>
    <t>Filtro alto rendimento Artic Plus con piastra filtrazione Astral con sabbia di vetro D950</t>
  </si>
  <si>
    <t>Filtro alto rendimento Artic Plus con piastra filtrazione Astral con sabbia di vetro D1050</t>
  </si>
  <si>
    <t>Filtro alto rendimento Artic Plus con piastra filtrazione Astral con sabbia di vetro D1200</t>
  </si>
  <si>
    <t>Biofiltri</t>
  </si>
  <si>
    <t>PAN_BIO_CORTO</t>
  </si>
  <si>
    <t>PAN_BIO_100</t>
  </si>
  <si>
    <t>PAN_BIO_170H</t>
  </si>
  <si>
    <t>PAN_FIL_SMALL_400</t>
  </si>
  <si>
    <t>Pratiko 400</t>
  </si>
  <si>
    <t>PAN_FIL_SMALL_1500</t>
  </si>
  <si>
    <t>Pratiko 1500</t>
  </si>
  <si>
    <t>PAN_FILTRO_CART_45</t>
  </si>
  <si>
    <t>SITA SIT_014202 Inox 304 45m3/h (1.190€)</t>
  </si>
  <si>
    <t>Feeder</t>
  </si>
  <si>
    <t>PAN_FEEDER</t>
  </si>
  <si>
    <t>PAN_VALV.SEL_1_1/2</t>
  </si>
  <si>
    <t>valvola 1 1/2"</t>
  </si>
  <si>
    <t>PAN_VALV.SEL_2</t>
  </si>
  <si>
    <t>valvola 2"</t>
  </si>
  <si>
    <t>PAN_VALV.SEL_2_1/2</t>
  </si>
  <si>
    <t>valvola 2 1/2" 24837</t>
  </si>
  <si>
    <t>PAN_VALV.SEL_3</t>
  </si>
  <si>
    <t>valvola 3" 28515 + kit collegamento filtro valvolo VIT00755</t>
  </si>
  <si>
    <t>PAN_QUARZO_0.4_0.8</t>
  </si>
  <si>
    <t>sabbia quarzo 0,4-0,8 mm</t>
  </si>
  <si>
    <t>PAN_QUARZO_1.0_2.0</t>
  </si>
  <si>
    <t>sabbia quarzo 1-2 mm</t>
  </si>
  <si>
    <t>PAN_QUARZO_3.0_6.0</t>
  </si>
  <si>
    <t>sabbia quarzo 3-6 mm</t>
  </si>
  <si>
    <t>PAN_VETRO_0.5_1.0</t>
  </si>
  <si>
    <t>vetro 0,5-1,0 mm</t>
  </si>
  <si>
    <t>PAN_VETRO_1.3_3.0</t>
  </si>
  <si>
    <t>vetro 1-3 mm</t>
  </si>
  <si>
    <t>PAN_VETRO_3.0_7.0</t>
  </si>
  <si>
    <t>vetro 3-7 mm</t>
  </si>
  <si>
    <t>PAN_FSI</t>
  </si>
  <si>
    <t>Microfiltro in plastica completo di gambe</t>
  </si>
  <si>
    <t>PAN_FSI_INOX</t>
  </si>
  <si>
    <t>Microfiltro in plastica completo manometro inox</t>
  </si>
  <si>
    <t>PAN_PONG005X01</t>
  </si>
  <si>
    <t>Filtri a calza 5 micron</t>
  </si>
  <si>
    <t>PAN_PONG025X01</t>
  </si>
  <si>
    <t>Filtri a calza 25 micron</t>
  </si>
  <si>
    <t>PAN_PONG050X01</t>
  </si>
  <si>
    <t>Filtri a calza 50 micron</t>
  </si>
  <si>
    <t>PAN_NYLON150_P3P</t>
  </si>
  <si>
    <t>Filtri a calza 150 micron in nylon p3p</t>
  </si>
  <si>
    <t>PAN_BIOBALL_009</t>
  </si>
  <si>
    <t>PAN_LSS_BALLS</t>
  </si>
  <si>
    <t>Riempimento bioball per biofiltro grandi 70 mm (PZ)</t>
  </si>
  <si>
    <t>PAN_KIT_Cestello</t>
  </si>
  <si>
    <t>Supporto filtro a calza triplo, completo di calze e supporti</t>
  </si>
  <si>
    <t>Osmosi inversa</t>
  </si>
  <si>
    <t>Osmosi inversa 360 lt/h</t>
  </si>
  <si>
    <t>Aquaproject Pro 5 con pompa</t>
  </si>
  <si>
    <t>Aquaproject Pro 5</t>
  </si>
  <si>
    <t>Aquaproject Ro 25 con pompa</t>
  </si>
  <si>
    <t>Climatizzazione</t>
  </si>
  <si>
    <t>PAN_RISC_ESTERNO</t>
  </si>
  <si>
    <t>Riscaldatore esterno 200 EU 12mm</t>
  </si>
  <si>
    <t>PAN_SCAM_EL_1_5</t>
  </si>
  <si>
    <t>Scambiatore elettrico 1,5 kW</t>
  </si>
  <si>
    <t>PAN_SCAM_EL_3</t>
  </si>
  <si>
    <t>Scambiatore elettrico 3 kW</t>
  </si>
  <si>
    <t>PAN_SCAM_EL_6</t>
  </si>
  <si>
    <t>Scambiatore elettrico 6 kW</t>
  </si>
  <si>
    <t>PAN_SCAM_EL_9</t>
  </si>
  <si>
    <t>Scambiatore elettrico 9 kW</t>
  </si>
  <si>
    <t>PAN_SCAM_EL_12</t>
  </si>
  <si>
    <t>Scambiatore elettrico 12 kW</t>
  </si>
  <si>
    <t>PAN_SCAM_EL_18</t>
  </si>
  <si>
    <t>Scambiatore elettrico 18 kW</t>
  </si>
  <si>
    <t>PAN_SCAM_EL_P_3</t>
  </si>
  <si>
    <t>Scambiatore elettrico in titanio, corpo in plastica 3 kW</t>
  </si>
  <si>
    <t>PAN_SCAM_EL_T_3</t>
  </si>
  <si>
    <t>Scambiatore elettrico in titanio 3 kW</t>
  </si>
  <si>
    <t>PAN_SCAM_EL_T_6</t>
  </si>
  <si>
    <t>Scambiatore elettrico in titanio 6 kW</t>
  </si>
  <si>
    <t>PAN_SCAM_EL_T_9</t>
  </si>
  <si>
    <t>Scambiatore elettrico in titanio 9 kW</t>
  </si>
  <si>
    <t>PAN_SCAM_EL_T_12</t>
  </si>
  <si>
    <t>Scambiatore elettrico in titanio 12 kW</t>
  </si>
  <si>
    <t>PAN_SCAM_EL_T_18</t>
  </si>
  <si>
    <t>Scambiatore elettrico in titanio 18 kW</t>
  </si>
  <si>
    <t>PAN_SCAM_WW_20</t>
  </si>
  <si>
    <t>Scambiatore acqua/acqua 20kW 18000kcal/h</t>
  </si>
  <si>
    <t>PAN_SCAM_WW_30</t>
  </si>
  <si>
    <t>Scambiatore acqua/acqua 30kW 26000kcal/h</t>
  </si>
  <si>
    <t>PAN_SCAM_WW_40</t>
  </si>
  <si>
    <t>Scambiatore acqua/acqua 40kW 35000kcal/h</t>
  </si>
  <si>
    <t>PAN_SCAM_WW_70</t>
  </si>
  <si>
    <t>Scambiatore acqua/acqua 70kW 60000kcal/h</t>
  </si>
  <si>
    <t>PAN_SCAM_WW_104</t>
  </si>
  <si>
    <t>Scambiatore acqua/acqua 104kW 90000kcal/h</t>
  </si>
  <si>
    <t>PAN_SCAM_WW_140</t>
  </si>
  <si>
    <t>Scambiatore acqua/acqua 140kW 120000kcal/h</t>
  </si>
  <si>
    <t>PAN_SCAM_WW_209</t>
  </si>
  <si>
    <t>Scambiatore acqua/acqua 209kW 180000kcal/h</t>
  </si>
  <si>
    <t>PAN_SCAM_WW_T_20</t>
  </si>
  <si>
    <t>PAN_SCAM_WW_T_40</t>
  </si>
  <si>
    <t>PAN_SCAM_WW_T_60</t>
  </si>
  <si>
    <t>PAN_REF_5</t>
  </si>
  <si>
    <t>Refrigeratori TECO connessione 1"</t>
  </si>
  <si>
    <t>PAN_REF_10</t>
  </si>
  <si>
    <t>Refrigeratori TECO TR10</t>
  </si>
  <si>
    <t>PAN_REF_15</t>
  </si>
  <si>
    <t>Refrigeratori TECO TR15</t>
  </si>
  <si>
    <t>PAN_REF_20</t>
  </si>
  <si>
    <t>Refrigeratori TECO TR20</t>
  </si>
  <si>
    <t>PAN_REF_30</t>
  </si>
  <si>
    <t>Refrigeratori TECO TR30</t>
  </si>
  <si>
    <t>PAN_REF_60</t>
  </si>
  <si>
    <t>Refrigeratori TECO TR60</t>
  </si>
  <si>
    <t>Refrigeratori TECO TK150</t>
  </si>
  <si>
    <t>PAN_REF_TK3000</t>
  </si>
  <si>
    <t>Refrigeratori TECO TK3000</t>
  </si>
  <si>
    <t>PAN_REF_TK6000</t>
  </si>
  <si>
    <t>Refrigeratori TECO TK6000</t>
  </si>
  <si>
    <t>PAN_CLIM_TK500</t>
  </si>
  <si>
    <t>Climatizzatore elettrico Teco TK500</t>
  </si>
  <si>
    <t>PAN_CLIM_1000</t>
  </si>
  <si>
    <t>Climatizzatore elettrico Teco TK1000</t>
  </si>
  <si>
    <t>PAN_CLIM_TK2000</t>
  </si>
  <si>
    <t>Climatizzatore elettrico Teco TK2000</t>
  </si>
  <si>
    <t>Climatizzatore elettrico Teco TK3000 + UV</t>
  </si>
  <si>
    <t>Climatizzatore elettrico Teco TK5K</t>
  </si>
  <si>
    <t>Climatizzatore elettrico Teco TK6000 + UV</t>
  </si>
  <si>
    <t>PAN_CHILL_1</t>
  </si>
  <si>
    <t>Economizzatore TECO E-CHILL 1</t>
  </si>
  <si>
    <t>PAN_CHILL_2</t>
  </si>
  <si>
    <t>Economizzatore TECO E-CHILL 2</t>
  </si>
  <si>
    <t>PAN_CHILL_3</t>
  </si>
  <si>
    <t>Economizzatore TECO E-CHILL 3</t>
  </si>
  <si>
    <t>PAN_REF_UV</t>
  </si>
  <si>
    <t>Kit UV-C per mod. PAN_REF_10/15/20/30/60</t>
  </si>
  <si>
    <t>PAN_REF_RES</t>
  </si>
  <si>
    <t>Kit resistenza per mod. PAN_REF_10/15/20/30/60</t>
  </si>
  <si>
    <t>PAN_CLIM_UV</t>
  </si>
  <si>
    <t>Lampada UVC ricambio</t>
  </si>
  <si>
    <t>PAN_REF_ORING</t>
  </si>
  <si>
    <t>4 guarnizioni + 4 oring</t>
  </si>
  <si>
    <t>PAN_REF_GH</t>
  </si>
  <si>
    <t>2 ghiere + 2 sottoghiere + 2 tappi</t>
  </si>
  <si>
    <t>PAN_REF_TAP</t>
  </si>
  <si>
    <t>2 rubinetti</t>
  </si>
  <si>
    <t>PAN_REF_CHIAVE</t>
  </si>
  <si>
    <t>2 chiavi aprighiere</t>
  </si>
  <si>
    <t>Sistema completo attuatore Belimo+adattatore Edelweiss+valvola FIP+Powerquick</t>
  </si>
  <si>
    <t>Vasche acrilico</t>
  </si>
  <si>
    <t>PAN_KR_450</t>
  </si>
  <si>
    <t>450mmX320mmX400mmH sp 15mm</t>
  </si>
  <si>
    <t>PAN_KR_600</t>
  </si>
  <si>
    <t>600mmx500mmx610mmH sp 15mm</t>
  </si>
  <si>
    <t>PAN_KR_1000</t>
  </si>
  <si>
    <t>1020mmx520mmx945mmH sp 20mm con 2 skimmer</t>
  </si>
  <si>
    <t>PAN_KR_1500</t>
  </si>
  <si>
    <t>1500mmx585mmx1500mmH sp 50mm con 2 skimmer</t>
  </si>
  <si>
    <t>PAN_KR_1900</t>
  </si>
  <si>
    <t>1900mmx585mmx1900mmH sp 50mm con 2 skimmer</t>
  </si>
  <si>
    <t>PAN_KR_3000</t>
  </si>
  <si>
    <t>3000mmX550mmX1500mmH</t>
  </si>
  <si>
    <t>PAN_PLANC_200</t>
  </si>
  <si>
    <t>Cilindro per plankton H200</t>
  </si>
  <si>
    <t>PAN_PMMA_20</t>
  </si>
  <si>
    <t>Lastra PPMMA 20mm (3050x2050)</t>
  </si>
  <si>
    <t>Lastra PPMMA 25mm (3050x2050)</t>
  </si>
  <si>
    <t>Lastra PPMMA 30mm (3050x2050)</t>
  </si>
  <si>
    <t>Lastra PPMMA 40mm (3050x2050)</t>
  </si>
  <si>
    <t>Lastra PPMMA 50mm (3050x2050)</t>
  </si>
  <si>
    <t>Lastra PPMMA 60mm (3050x2050)</t>
  </si>
  <si>
    <t>PAN_PMMA_70</t>
  </si>
  <si>
    <t>Lastra PPMMA 70mm (3050x2050)</t>
  </si>
  <si>
    <t>PAN_PMMA_STIL</t>
  </si>
  <si>
    <t>Lastra stilform €/kg (densità 1,2)</t>
  </si>
  <si>
    <t>PAN_SEAL_FRP_PMMA</t>
  </si>
  <si>
    <t>Sigillante Dow Corning 895 (tubo 310 ml) 1,43g/ml per incollaggio acrilico su FRP</t>
  </si>
  <si>
    <t>PAN_SEAL_FRP_FRP</t>
  </si>
  <si>
    <t>Sikaflex grigio per incollagio vasche in FRP</t>
  </si>
  <si>
    <t>PAN_FRPV_M</t>
  </si>
  <si>
    <t>Vasca FRPV monoblocco (€/mc)</t>
  </si>
  <si>
    <t>PAN_FRPV_C</t>
  </si>
  <si>
    <t>Vasca FRPV componibile (€/mc)</t>
  </si>
  <si>
    <t>Carpenteria</t>
  </si>
  <si>
    <t>PAN_BAS_EQS_INOX</t>
  </si>
  <si>
    <t>Basamento in acciaio inox a volume da EQS</t>
  </si>
  <si>
    <t>50x50x2</t>
  </si>
  <si>
    <t>PAN_BAS_M3D</t>
  </si>
  <si>
    <t>Basamento in acciaio inox a volume da Meccanica 3D</t>
  </si>
  <si>
    <t>Serbatoi</t>
  </si>
  <si>
    <t>PAN_SER_100</t>
  </si>
  <si>
    <t>Serbatoio verticale Telcom in PE (scarico 1¼")</t>
  </si>
  <si>
    <t>670x480x480</t>
  </si>
  <si>
    <t>PAN_SER_200</t>
  </si>
  <si>
    <t>850x600x600</t>
  </si>
  <si>
    <t>PAN_SER_300</t>
  </si>
  <si>
    <t>970x700x700</t>
  </si>
  <si>
    <t>PAN_SER_3000</t>
  </si>
  <si>
    <t>1980x1470x1470</t>
  </si>
  <si>
    <t>PAN_SER_4000</t>
  </si>
  <si>
    <t>2060x1690x1690</t>
  </si>
  <si>
    <t>PAN_SER_5000</t>
  </si>
  <si>
    <t>1890x2030x2030</t>
  </si>
  <si>
    <t>PAN_SER_10000</t>
  </si>
  <si>
    <t>2600x2380x2380</t>
  </si>
  <si>
    <t>PAN_SER_16000</t>
  </si>
  <si>
    <t>3820x2380x2380</t>
  </si>
  <si>
    <t>PAN_SER_300_SLIM</t>
  </si>
  <si>
    <t>1660x510x510</t>
  </si>
  <si>
    <t>PAN_CO_300_SLIM</t>
  </si>
  <si>
    <t>520x610x1600</t>
  </si>
  <si>
    <t>PAN_CO_500_SLIM</t>
  </si>
  <si>
    <t>720x620x1730</t>
  </si>
  <si>
    <t>Sump</t>
  </si>
  <si>
    <t>PAN_SUMP_700</t>
  </si>
  <si>
    <t>Cargopallet 700 gr ATX S/piedi MA_80124802</t>
  </si>
  <si>
    <t>1200x1000x830</t>
  </si>
  <si>
    <t>PAN_SUMP_1500</t>
  </si>
  <si>
    <t>Lamar 1440lt con supporti</t>
  </si>
  <si>
    <t>2000x900x800 (+100)</t>
  </si>
  <si>
    <t>PAN_SUMP_1800</t>
  </si>
  <si>
    <t>Lamar 1800lt con supporti</t>
  </si>
  <si>
    <t>2000x1000x900 (+100)</t>
  </si>
  <si>
    <t>Cargop 600 GR. ATX c/piedi MA_30185740</t>
  </si>
  <si>
    <t>PAN_SUMP_2000</t>
  </si>
  <si>
    <t>Lamar 2000lt con supporti</t>
  </si>
  <si>
    <t>900x2000x1000</t>
  </si>
  <si>
    <t>PAN_SUMP_200</t>
  </si>
  <si>
    <t>Omikron 200</t>
  </si>
  <si>
    <t>PAN_SUMP_100</t>
  </si>
  <si>
    <t>Omikron 100</t>
  </si>
  <si>
    <t>PAN_SUMP_300</t>
  </si>
  <si>
    <t>Cargopallet 300</t>
  </si>
  <si>
    <t>Scenografia</t>
  </si>
  <si>
    <t>PAN_SA06</t>
  </si>
  <si>
    <t>Sabbia fina per discus SA06 sacco kg25 (Zucchetto)</t>
  </si>
  <si>
    <t>PAN_SAB_SAL_PEP</t>
  </si>
  <si>
    <t>Sale e pepe MAN_AE103290 sacco kg25 (Mantovani)</t>
  </si>
  <si>
    <t>Illuminazione</t>
  </si>
  <si>
    <t>PAN_LED_100XP_C</t>
  </si>
  <si>
    <t>Impianto LED 100W focalizzato per barriera corallina con quadro</t>
  </si>
  <si>
    <t>PAN_LED_400</t>
  </si>
  <si>
    <t>Faro 400watt (6 cob bianchi 10000k  + 4 cob blu royal 460nM)</t>
  </si>
  <si>
    <t>PAN_LED_240</t>
  </si>
  <si>
    <t>Faro 240watt (4 cob bianchi 10000k  + 2 cob blu royal 460nM)</t>
  </si>
  <si>
    <t>PAN_LED_160</t>
  </si>
  <si>
    <t>Faro 160watt (2 cob bianchi 10000k  + 2 cob blu royal 460nM)</t>
  </si>
  <si>
    <t>OS_FDT26L18W_77</t>
  </si>
  <si>
    <t>Osram FD T26 L 18W-77 G13 Fluora</t>
  </si>
  <si>
    <t>OS_FDT26L36W_77</t>
  </si>
  <si>
    <t>Osram FD T26 L 36W-77 G13 Fluora</t>
  </si>
  <si>
    <t>OS_FDT26L58W_954</t>
  </si>
  <si>
    <t>Osram FD T26 L 58W-954 G13 Daylight</t>
  </si>
  <si>
    <t>PAN_LED_100XP</t>
  </si>
  <si>
    <t>Faro LED 100W focalizzato per barriera corallina</t>
  </si>
  <si>
    <t>PAN_LED_25_6500</t>
  </si>
  <si>
    <t>Barra acquari GNC 80cm 25watt completa di alimentatore (dolce 6500 k)</t>
  </si>
  <si>
    <t>PAN_LED_25_14000</t>
  </si>
  <si>
    <t>PAN_LED_25_14000B</t>
  </si>
  <si>
    <t>Barra acquari GNC 80cm 25watt completa di alimentatore (marino 14000k + blu)</t>
  </si>
  <si>
    <t>PAN_LED_25_460B</t>
  </si>
  <si>
    <t>Barra acquari GNC 80cm 25watt completa di alimentatore (marino blu 460nM)</t>
  </si>
  <si>
    <t>PAN_LED_32_6500</t>
  </si>
  <si>
    <t>Barra acquari GNC 105cm 32watt completa di alimentatore (dolce 6500 k)</t>
  </si>
  <si>
    <t>PAN_LED_32_14000</t>
  </si>
  <si>
    <t>PAN_LED_32_14000B</t>
  </si>
  <si>
    <t>Barra acquari GNC 105cm 32watt completa di alimentatore (marino 14000k + blu)</t>
  </si>
  <si>
    <t>PAN_LED_32_460B</t>
  </si>
  <si>
    <t>Barra acquari GNC 105cm 32watt completa di alimentatore (marino blu 460nM)</t>
  </si>
  <si>
    <t>Quarzo 64 w 20x23x1550 mettiamo soloquarzo 75/145?</t>
  </si>
  <si>
    <t>PAN_FIL_D1250_H1000</t>
  </si>
  <si>
    <t>PAN_FIL_D1400_H1000</t>
  </si>
  <si>
    <t>PAN_FIL_D1500_H1000</t>
  </si>
  <si>
    <t>PAN_FIL_D1600_H1000</t>
  </si>
  <si>
    <t>PAN_FIL_D1800_H1000</t>
  </si>
  <si>
    <t>PAN_FIL_D2200_H1000</t>
  </si>
  <si>
    <t>PAN_FIL_D2400_H1000</t>
  </si>
  <si>
    <t>PAN_FIL_D2000_H1000</t>
  </si>
  <si>
    <t>PAN_FIL_D1250_H1000_Q</t>
  </si>
  <si>
    <t>PAN_FIL_D2000_H1000_Q</t>
  </si>
  <si>
    <t>PAN_FIL_D1400_H1000_Q</t>
  </si>
  <si>
    <t>PAN_FIL_D1500_H1000_Q</t>
  </si>
  <si>
    <t>PAN_FIL_D1600_H1000_Q</t>
  </si>
  <si>
    <t>PAN_FIL_D1800_H1000_Q</t>
  </si>
  <si>
    <t>PAN_FIL_D2200_H1000_Q</t>
  </si>
  <si>
    <t>PAN_FIL_D2400_H1000_Q</t>
  </si>
  <si>
    <t>PAN_FIL_D1400_H1000_V</t>
  </si>
  <si>
    <t>PAN_FIL_D1500_H1000_V</t>
  </si>
  <si>
    <t>PAN_FIL_D1600_H1000_V</t>
  </si>
  <si>
    <t>PAN_FIL_D1800_H1000_V</t>
  </si>
  <si>
    <t>PAN_FIL_D2200_H1000_V</t>
  </si>
  <si>
    <t>PAN_FIL_D2400_H1000_V</t>
  </si>
  <si>
    <t>PAN_FIL_D1250_H1000_V</t>
  </si>
  <si>
    <t>PAN_FIL_D2000_H1000_V</t>
  </si>
  <si>
    <t>Filtro a sabbia Canale Antonio mod. Italia Hc1000 V=40m/h D1250 H2000</t>
  </si>
  <si>
    <t>Filtro a sabbia Canale Antonio mod. Italia Hc1000 V=40m/h D1400 H2050</t>
  </si>
  <si>
    <t>Filtro a sabbia Canale Antonio mod. Italia Hc1000 V=40m/h D1500 H2100</t>
  </si>
  <si>
    <t>Filtro a sabbia Canale Antonio mod. Italia Hc1000 V=40m/h D1600 H2150</t>
  </si>
  <si>
    <t>Filtro a sabbia Canale Antonio mod. Italia Hc1000 V=40m/h D1800 H2200</t>
  </si>
  <si>
    <t>Filtro a sabbia Canale Antonio mod. Italia Hc1000 V=40m/h D2000 H2250</t>
  </si>
  <si>
    <t>Filtro a sabbia Canale Antonio mod. Italia Hc1000 V=40m/h D2200 H2300</t>
  </si>
  <si>
    <t>Filtro a sabbia Canale Antonio mod. Italia Hc1000 V=40m/h D2400 H2350</t>
  </si>
  <si>
    <t>Filtro a sabbia Canale Antonio mod. Italia Hc1000 V=40m/h D1250 H2000 con quarzo</t>
  </si>
  <si>
    <t>Filtro a sabbia Canale Antonio mod. Italia Hc1000 V=40m/h D1400 H2050 con quarzo</t>
  </si>
  <si>
    <t>Filtro a sabbia Canale Antonio mod. Italia Hc1000 V=40m/h D1500 H2100 con quarzo</t>
  </si>
  <si>
    <t>Filtro a sabbia Canale Antonio mod. Italia Hc1000 V=40m/h D1600 H2150 con quarzo</t>
  </si>
  <si>
    <t>Filtro a sabbia Canale Antonio mod. Italia Hc1000 V=40m/h D1800 H2200 con quarzo</t>
  </si>
  <si>
    <t>Filtro a sabbia Canale Antonio mod. Italia Hc1000 V=40m/h D2000 H2250 con quarzo</t>
  </si>
  <si>
    <t>Filtro a sabbia Canale Antonio mod. Italia Hc1000 V=40m/h D2200 H2300 con quarzo</t>
  </si>
  <si>
    <t>Filtro a sabbia Canale Antonio mod. Italia Hc1000 V=40m/h D2400 H2350 con quarzo</t>
  </si>
  <si>
    <t>Filtro a sabbia Canale Antonio mod. Italia Hc1000 V=40m/h D1250 H2000 con vetro</t>
  </si>
  <si>
    <t>Filtro a sabbia Canale Antonio mod. Italia Hc1000 V=40m/h D1400 H2050 con vetro</t>
  </si>
  <si>
    <t>Filtro a sabbia Canale Antonio mod. Italia Hc1000 V=40m/h D1500 H2100 con vetro</t>
  </si>
  <si>
    <t>Filtro a sabbia Canale Antonio mod. Italia Hc1000 V=40m/h D1600 H2150 con vetro</t>
  </si>
  <si>
    <t>Filtro a sabbia Canale Antonio mod. Italia Hc1000 V=40m/h D1800 H2200 con vetro</t>
  </si>
  <si>
    <t>Filtro a sabbia Canale Antonio mod. Italia Hc1000 V=40m/h D2000 H2250 con vetro</t>
  </si>
  <si>
    <t>Filtro a sabbia Canale Antonio mod. Italia Hc1000 V=40m/h D2200 H2300 con vetro</t>
  </si>
  <si>
    <t>Filtro a sabbia Canale Antonio mod. Italia Hc1000 V=40m/h D2400 H2350 con vetro</t>
  </si>
  <si>
    <t>PAN_Q_SIMOV_MAIN</t>
  </si>
  <si>
    <t>Quadro monitoraggio vasche Unità di controllo centrale con display Touch Screen e alimentatore</t>
  </si>
  <si>
    <t>Box contenitore trasmettitori (fino a 6)</t>
  </si>
  <si>
    <t>PAN_Q_SIMOV_WIFI</t>
  </si>
  <si>
    <t>Box access point wifi</t>
  </si>
  <si>
    <t>PAN_Q_SIMOV_DSD</t>
  </si>
  <si>
    <t>PAN_Q_SIMOV_TCB</t>
  </si>
  <si>
    <t>Box Distributore Sonde Digitali (fino a 10)</t>
  </si>
  <si>
    <t>PAN_QUADRO</t>
  </si>
  <si>
    <t>PAN_BEL_ATTU32</t>
  </si>
  <si>
    <t>PAN_PSK_P_450L</t>
  </si>
  <si>
    <t>PAN_PSK_P_550L</t>
  </si>
  <si>
    <t>PAN_PSK_P_800L</t>
  </si>
  <si>
    <t>Filtro a sabbia Canale Antonio mod. Italia Hc1200 V=40m/h D1250 H2200</t>
  </si>
  <si>
    <t>Filtro a sabbia Canale Antonio mod. Italia Hc1200 V=40m/h D1400 H2250</t>
  </si>
  <si>
    <t>Filtro a sabbia Canale Antonio mod. Italia Hc1200 V=40m/h D1500 H2300</t>
  </si>
  <si>
    <t>Filtro a sabbia Canale Antonio mod. Italia Hc1200 V=40m/h D1600 H2350</t>
  </si>
  <si>
    <t>Filtro a sabbia Canale Antonio mod. Italia Hc1200 V=40m/h D1800 H2400</t>
  </si>
  <si>
    <t>Filtro a sabbia Canale Antonio mod. Italia Hc1200 V=40m/h D2000 H2450</t>
  </si>
  <si>
    <t>Filtro a sabbia Canale Antonio mod. Italia Hc1200 V=40m/h D2400 H2550</t>
  </si>
  <si>
    <t>Filtro a sabbia Canale Antonio mod. Italia Hc1200 V=40m/h D1250 H2200 con quarzo</t>
  </si>
  <si>
    <t>Filtro a sabbia Canale Antonio mod. Italia Hc1200 V=40m/h D1400 H2250 con quarzo</t>
  </si>
  <si>
    <t>Filtro a sabbia Canale Antonio mod. Italia Hc1200 V=40m/h D1500 H2300 con quarzo</t>
  </si>
  <si>
    <t>Filtro a sabbia Canale Antonio mod. Italia Hc1200 V=40m/h D1600 H2350 con quarzo</t>
  </si>
  <si>
    <t>Filtro a sabbia Canale Antonio mod. Italia Hc1200 V=40m/h D1800 H2400 con quarzo</t>
  </si>
  <si>
    <t>Filtro a sabbia Canale Antonio mod. Italia Hc1200 V=40m/h D2000 H2450 con quarzo</t>
  </si>
  <si>
    <t>Filtro a sabbia Canale Antonio mod. Italia Hc1200 V=40m/h D2400 H2550 con quarzo</t>
  </si>
  <si>
    <t>Filtro a sabbia Canale Antonio mod. Italia Hc1200 V=40m/h D2200 H2500 con quarzo</t>
  </si>
  <si>
    <t>Filtro a sabbia Canale Antonio mod. Italia Hc1200 V=40m/h D2200 H2500</t>
  </si>
  <si>
    <t>Filtro a sabbia Canale Antonio mod. Italia Hc1200 V=40m/h D1250 H2200 con vetro</t>
  </si>
  <si>
    <t>Filtro a sabbia Canale Antonio mod. Italia Hc1200 V=40m/h D1400 H2250 con vetro</t>
  </si>
  <si>
    <t>Filtro a sabbia Canale Antonio mod. Italia Hc1200 V=40m/h D1500 H2300 con vetro</t>
  </si>
  <si>
    <t>Filtro a sabbia Canale Antonio mod. Italia Hc1200 V=40m/h D1600 H2350 con vetro</t>
  </si>
  <si>
    <t>Filtro a sabbia Canale Antonio mod. Italia Hc1200 V=40m/h D1800 H2400 con vetro</t>
  </si>
  <si>
    <t>Filtro a sabbia Canale Antonio mod. Italia Hc1200 V=40m/h D2000 H2450 con vetro</t>
  </si>
  <si>
    <t>Filtro a sabbia Canale Antonio mod. Italia Hc1200 V=40m/h D2200 H2500 con vetro</t>
  </si>
  <si>
    <t>Filtro a sabbia Canale Antonio mod. Italia Hc1200 V=40m/h D2400 H2550 con vetro</t>
  </si>
  <si>
    <t>PAN_FIL_D1250_H1200</t>
  </si>
  <si>
    <t>PAN_FIL_D1400_H1200</t>
  </si>
  <si>
    <t>PAN_FIL_D1500_H1200</t>
  </si>
  <si>
    <t>PAN_FIL_D1600_H1200</t>
  </si>
  <si>
    <t>PAN_FIL_D1800_H1200</t>
  </si>
  <si>
    <t>PAN_FIL_D2000_H1200</t>
  </si>
  <si>
    <t>PAN_FIL_D2200_H1200</t>
  </si>
  <si>
    <t>PAN_FIL_D2400_H1200</t>
  </si>
  <si>
    <t>PAN_FIL_D1250_H1200_Q</t>
  </si>
  <si>
    <t>PAN_FIL_D1400_H1200_Q</t>
  </si>
  <si>
    <t>PAN_FIL_D1500_H1200_Q</t>
  </si>
  <si>
    <t>PAN_FIL_D1600_H1200_Q</t>
  </si>
  <si>
    <t>PAN_FIL_D1800_H1200_Q</t>
  </si>
  <si>
    <t>PAN_FIL_D2000_H1200_Q</t>
  </si>
  <si>
    <t>PAN_FIL_D2200_H1200_Q</t>
  </si>
  <si>
    <t>PAN_FIL_D2400_H1200_Q</t>
  </si>
  <si>
    <t>PAN_FIL_D1250_H1200_V</t>
  </si>
  <si>
    <t>PAN_FIL_D1400_H1200_V</t>
  </si>
  <si>
    <t>PAN_FIL_D1500_H1200_V</t>
  </si>
  <si>
    <t>PAN_FIL_D1600_H1200_V</t>
  </si>
  <si>
    <t>PAN_FIL_D1800_H1200_V</t>
  </si>
  <si>
    <t>PAN_FIL_D2000_H1200_V</t>
  </si>
  <si>
    <t>PAN_FIL_D2200_H1200_V</t>
  </si>
  <si>
    <t>PAN_FIL_D2400_H1200_V</t>
  </si>
  <si>
    <t>Riempimento bioball per biofiltro (€/lt)</t>
  </si>
  <si>
    <t>PAN_OSMOSI_PRO/5</t>
  </si>
  <si>
    <t>PAN_OSMOSI_360</t>
  </si>
  <si>
    <t>PAN_OSMOSI_PRO/5_C_Pump</t>
  </si>
  <si>
    <t>PAN_OSMOSI_PRO/25</t>
  </si>
  <si>
    <t>PAN_REF_TK150</t>
  </si>
  <si>
    <t>PAN_REF_TK9000</t>
  </si>
  <si>
    <t>Refrigeratori TECO TK9000</t>
  </si>
  <si>
    <t>PAN_CLIM_TK3000H</t>
  </si>
  <si>
    <t>PAN_CLIM_TK5K</t>
  </si>
  <si>
    <t>PAN_CLIM_TK6000H</t>
  </si>
  <si>
    <t>PAN_CLIM_TK9000H</t>
  </si>
  <si>
    <t>Climatizzatore elettrico Teco TK9000 + UV</t>
  </si>
  <si>
    <t>PAN_CLIM_TK8K</t>
  </si>
  <si>
    <t>Climatizzatore elettrico Teco TK8K</t>
  </si>
  <si>
    <t>Climatizzatore elettrico Teco TK15K</t>
  </si>
  <si>
    <t>PAN_CLIM_TK15K</t>
  </si>
  <si>
    <t>PAN_BEL_COMPLETO</t>
  </si>
  <si>
    <t>PAN_PMMA_3050_2030_25</t>
  </si>
  <si>
    <t>PAN_PMMA_3050_2030_30</t>
  </si>
  <si>
    <t>PAN_PMMA_3050_2030_40</t>
  </si>
  <si>
    <t>PAN_PMMA_3050_2030_50</t>
  </si>
  <si>
    <t>PAN_PMMA_3050_2030_60</t>
  </si>
  <si>
    <t>Barra acquari GNC 80cm 25watt completa di alimentatore (marino 14000k)</t>
  </si>
  <si>
    <t>Barra acquari GNC 105cm 32watt completa di alimentatore (marino 14000k)</t>
  </si>
  <si>
    <t>Sistemi completi</t>
  </si>
  <si>
    <t>PAN_LSS_C_050_D</t>
  </si>
  <si>
    <t>Skid dolce con sump600, pompa 0,5HP, biologico, scambiatore titanio 3kW, uv240, kit cestello, manodopera</t>
  </si>
  <si>
    <t>Skid dolce doppia filtrazione con sump600, pompa 0,5HP, biologico, scambiatore titanio 3kW, uv240, kit cestello, filtro D400, manodopera</t>
  </si>
  <si>
    <t>Skid marino doppia filtrazione con sump600, pompa 0,5HP, biologico, PSK200, scambiatore titanio 3kW, uv240, kit cestello, filtro D400, manodopera</t>
  </si>
  <si>
    <t>Skid marino con sump600, pompa 0,5HP, biologico, PSK200, scambiatore titanio 3kW, uv240, kit cestello, manodopera</t>
  </si>
  <si>
    <t>PAN_LSS_C_050_M_DF</t>
  </si>
  <si>
    <t>PAN_LSS_C_050_M</t>
  </si>
  <si>
    <t>PAN_LSS_C_050_D_DF</t>
  </si>
  <si>
    <t>Climatizzazione Accessori</t>
  </si>
  <si>
    <t>Filtri Accessori</t>
  </si>
  <si>
    <t>Illuminazione Accessori</t>
  </si>
  <si>
    <t>Pompe Accessori</t>
  </si>
  <si>
    <t>Quadri controllo Accessori</t>
  </si>
  <si>
    <t>Sterilizzatori UV-C Accessori</t>
  </si>
  <si>
    <t>Vasche Accessori</t>
  </si>
  <si>
    <t>Pompe a immersione</t>
  </si>
  <si>
    <t>PAN_PUMP_SP4</t>
  </si>
  <si>
    <t>Pompa sump pump SP4</t>
  </si>
  <si>
    <t>Pompa sump pump SP6</t>
  </si>
  <si>
    <t>1"</t>
  </si>
  <si>
    <t>PAN_PUMP_SP6</t>
  </si>
  <si>
    <t>Q: portata condotta</t>
  </si>
  <si>
    <t>V: Velocità flusso</t>
  </si>
  <si>
    <t>DN: Diametro interno condotta</t>
  </si>
  <si>
    <t>Q (l/s)</t>
  </si>
  <si>
    <t>V (m/s)</t>
  </si>
  <si>
    <t>Incognita Q</t>
  </si>
  <si>
    <t>Incognita DN</t>
  </si>
  <si>
    <t>DN (mm)</t>
  </si>
  <si>
    <t>Incognita V</t>
  </si>
  <si>
    <t>a</t>
  </si>
  <si>
    <r>
      <t>l/s</t>
    </r>
    <r>
      <rPr>
        <sz val="11"/>
        <color theme="1"/>
        <rFont val="Wingdings 3"/>
        <family val="1"/>
        <charset val="2"/>
      </rPr>
      <t/>
    </r>
  </si>
  <si>
    <r>
      <t>m</t>
    </r>
    <r>
      <rPr>
        <vertAlign val="superscript"/>
        <sz val="11"/>
        <color theme="1"/>
        <rFont val="Calibri"/>
        <family val="2"/>
        <scheme val="minor"/>
      </rPr>
      <t>3</t>
    </r>
    <r>
      <rPr>
        <sz val="11"/>
        <color theme="1"/>
        <rFont val="Calibri"/>
        <family val="2"/>
        <scheme val="minor"/>
      </rPr>
      <t>/h</t>
    </r>
    <r>
      <rPr>
        <sz val="11"/>
        <color theme="1"/>
        <rFont val="Wingdings 3"/>
        <family val="1"/>
        <charset val="2"/>
      </rPr>
      <t/>
    </r>
  </si>
  <si>
    <t>PAN_FIL_650_V</t>
  </si>
  <si>
    <t>PAN_FIL_800_V</t>
  </si>
  <si>
    <t>PAN_FIL_950_V</t>
  </si>
  <si>
    <t>PAN_FIL_1050_V</t>
  </si>
  <si>
    <t>PAN_FIL_1200_V</t>
  </si>
  <si>
    <t>Q.tà</t>
  </si>
  <si>
    <t>Cod</t>
  </si>
  <si>
    <t>Prezzo</t>
  </si>
  <si>
    <t>Sconto</t>
  </si>
  <si>
    <t>Sistema Astici 15000lt</t>
  </si>
  <si>
    <t>LA_Vasca_cilindrica_1000</t>
  </si>
  <si>
    <t>Vasca  cilindrica fondo piano con coperchio D1290 H920 con piedi e griglietta 1000 lt</t>
  </si>
  <si>
    <t>Compreso riempimento?</t>
  </si>
  <si>
    <t>TOT</t>
  </si>
  <si>
    <t>Scontato</t>
  </si>
  <si>
    <t>PAN_PVC</t>
  </si>
  <si>
    <t>Raccorderia necessaria</t>
  </si>
  <si>
    <t>Incubatoi Astici</t>
  </si>
  <si>
    <t>Misure vasca</t>
  </si>
  <si>
    <t>Altezza  (mm)</t>
  </si>
  <si>
    <t>Numero vasche</t>
  </si>
  <si>
    <t>Volume stramazzo (lt)</t>
  </si>
  <si>
    <t>Volume sump cons (lt)</t>
  </si>
  <si>
    <t>Turnover orario</t>
  </si>
  <si>
    <t>Volume totale (lt)</t>
  </si>
  <si>
    <t>DN mandata (mm)</t>
  </si>
  <si>
    <t>PAN_CELLETTE</t>
  </si>
  <si>
    <t>Sistema di cellette 5x5 cm per astici dimensioni 1000x1000 mm con rete plancton per micro fitrazione</t>
  </si>
  <si>
    <t>Scambiatore a piastre ??? kW</t>
  </si>
  <si>
    <t>PAN_SCAMB</t>
  </si>
  <si>
    <t>LA_Incubatoi</t>
  </si>
  <si>
    <t>Incubatoi larvale D450 H470</t>
  </si>
  <si>
    <t>PAN_KIT_Sensore_F_D50</t>
  </si>
  <si>
    <t>PAN_SUMP_3000</t>
  </si>
  <si>
    <t>Lamar 3000lt con supporti</t>
  </si>
  <si>
    <t>Sistema monitoraggio</t>
  </si>
  <si>
    <t>Sistema accumulo acqua salata</t>
  </si>
  <si>
    <t>Vasca acqua dolce</t>
  </si>
  <si>
    <t>DN aspirazione (mm)</t>
  </si>
  <si>
    <t>s</t>
  </si>
  <si>
    <t>`</t>
  </si>
  <si>
    <t>PAN_VASCA_AC_2120x900x700h</t>
  </si>
  <si>
    <t>Vasca in acrilico trasparente sul lato frontale  colore blu oltremare  ral 5002 sul fondo misure: 2120x900x700  mm</t>
  </si>
  <si>
    <t>PAN_BASAMENTO_50_50</t>
  </si>
  <si>
    <t>Basamento vasca realizzato in acciaio inox 316 scatolato 50x50x2 H900mm con piedini regolabili</t>
  </si>
  <si>
    <t>Pompa a trascinamento magnetico  CON Motore 0,25Kw 2poli B3/B14 50Hz 220V Monofase</t>
  </si>
  <si>
    <t>Filtro Meccanico  a sabbia Lateral D 400  completo di valvola selettrice e sabbia vetro</t>
  </si>
  <si>
    <t>PAN_Pvc</t>
  </si>
  <si>
    <t>Raccorderia in Pvc</t>
  </si>
  <si>
    <t>PAN_SCENA</t>
  </si>
  <si>
    <t>Scenografie in roccia artificiale su tre lati</t>
  </si>
  <si>
    <t>PAN_SUMP_600</t>
  </si>
  <si>
    <t>Vasca acqua salmastra</t>
  </si>
  <si>
    <t>Vasca acqua marina</t>
  </si>
  <si>
    <t>PAN_VASCA_VR_2000_1500_600</t>
  </si>
  <si>
    <t>Vasca rettangolare in resina polistere rinforzata: Dimensioni  mm 2000x1500, altezza totale mm 600.RAL5002</t>
  </si>
  <si>
    <t>PAN_BASAMENTO_30_30</t>
  </si>
  <si>
    <t>Basamento vasca realizzato in acciaio inox scatolato 30x30x2 con piedini regolabili 2000x1500x400h</t>
  </si>
  <si>
    <t>PAN_Psk_200plus</t>
  </si>
  <si>
    <t>Protein skimmer  200 plus 2500 lt/h</t>
  </si>
  <si>
    <t>Vasca tattile</t>
  </si>
  <si>
    <t>Fotobioreattori e feeder</t>
  </si>
  <si>
    <t>PAN_Fotobioreattore</t>
  </si>
  <si>
    <t>PAN_Feeder</t>
  </si>
  <si>
    <t>Raccorderia necessaria al funzionamento dei reattori e dei feeder, esclusa la bombola di CO2 per i fotobioreattori</t>
  </si>
  <si>
    <t>PAN_Aer_M2_K3</t>
  </si>
  <si>
    <t>Aeratore per Feeder</t>
  </si>
  <si>
    <t>Manodopera</t>
  </si>
  <si>
    <t>Trasporto</t>
  </si>
  <si>
    <t>CENTRO DIDATTICO</t>
  </si>
  <si>
    <t>3443811909 Paolo de Marzi demarzip@gmail.com</t>
  </si>
  <si>
    <t>PAN_Q_SIMOV_EV8</t>
  </si>
  <si>
    <t>Estensione Simov Box relè per comando 8 EV per automazione CO2 da pH</t>
  </si>
  <si>
    <t>Estensione Simov Box access point wifi</t>
  </si>
  <si>
    <t>Estensione Simov Box contenitore trasmettitori (fino a 6)</t>
  </si>
  <si>
    <t>Estensione Simov Box Distributore Sonde Digitali (fino a 10)</t>
  </si>
  <si>
    <t>Alessandro Carlini 3382773561</t>
  </si>
  <si>
    <t>PAN_PUMP_TM_150</t>
  </si>
  <si>
    <t>Sterilizzatori UV-C quadri</t>
  </si>
  <si>
    <t>Sterilizzatori UV-C quarzi</t>
  </si>
  <si>
    <t>Quadro UV HI 5x75</t>
  </si>
  <si>
    <t>PAN_UV_HI_475_P</t>
  </si>
  <si>
    <t>Sterilizzatore UV-C in PEAD da 4x75 watt con quadro HI e piastra in acciaio INOX</t>
  </si>
  <si>
    <t>Sterilizzatori UV-C Quadri</t>
  </si>
  <si>
    <t>Sterilizzatori UV-C Quarzi</t>
  </si>
  <si>
    <t>Sterilizzatori UV-C Collettori</t>
  </si>
  <si>
    <t>Sterilizzatori UV-C Lampade</t>
  </si>
  <si>
    <t>**Vasca cilindrica</t>
  </si>
  <si>
    <t>Larghezza (mm)*</t>
  </si>
  <si>
    <t>Profondità (mm)*</t>
  </si>
  <si>
    <t>*Vasca parallelepidica</t>
  </si>
  <si>
    <t>Diametro (mm)**</t>
  </si>
  <si>
    <t>Skm200plus/ h 1000 0,5 mc/h aria</t>
  </si>
  <si>
    <t>Skm1000/ h 2000 1 x 10 mc/h aria</t>
  </si>
  <si>
    <t>Skm1200/ h 2000 2 x 10 mc/h aria</t>
  </si>
  <si>
    <t>Skm2000/ h 4500 2 x 70 mc/h aria</t>
  </si>
  <si>
    <t>Skm500/ h 1300 1 x 3,6 mc/h aria</t>
  </si>
  <si>
    <t>Skm600/ h 1300 1 x 4,5 mc/h aria</t>
  </si>
  <si>
    <t>Skm800/ h 1600 1 x 6 mc/h aria</t>
  </si>
  <si>
    <t>PAN_KR_2000</t>
  </si>
  <si>
    <t>2000mmX600mmX1000mmH sp 50mm con 2 skimmer e fori flusso centrale</t>
  </si>
  <si>
    <t>Portata @ 40mWs/cm2</t>
  </si>
  <si>
    <t>Water treatment @ 40mWs/cm2</t>
  </si>
  <si>
    <t>Lampade</t>
  </si>
  <si>
    <t>Lamps</t>
  </si>
  <si>
    <t>Potenza totale</t>
  </si>
  <si>
    <t>Power consumption</t>
  </si>
  <si>
    <t>Price</t>
  </si>
  <si>
    <t>EASY</t>
  </si>
  <si>
    <t>ECO</t>
  </si>
  <si>
    <t>HI</t>
  </si>
  <si>
    <t>AM</t>
  </si>
  <si>
    <t>KIT sensore irraggiamento / irradiation sensor</t>
  </si>
  <si>
    <t>KIT sensore di flusso con supporto / flow sensor with stand (D&lt;110)</t>
  </si>
  <si>
    <t>KIT sensore di flusso con supporto / flow sensor with stand (D&gt;110)</t>
  </si>
  <si>
    <t>KIT sensore flowmeter, staffa e Tee (varie misure fino a D110)</t>
  </si>
  <si>
    <t>KIT sensore flowmeter, staffa e tee (varie misure da D125 a D200)</t>
  </si>
  <si>
    <t>Serie AM</t>
  </si>
  <si>
    <t>Longer lasting lamps, easier management (less lamps at same irradiation power)</t>
  </si>
  <si>
    <t>Per una maggiore durata delle lampade, una più semplice gestione (minore numero di lampade a parità di potenza di irraggiamento)</t>
  </si>
  <si>
    <t xml:space="preserve">PAN_QU_64W </t>
  </si>
  <si>
    <t>Serie</t>
  </si>
  <si>
    <r>
      <t>Portata in m</t>
    </r>
    <r>
      <rPr>
        <vertAlign val="superscript"/>
        <sz val="11"/>
        <color theme="1"/>
        <rFont val="Calibri"/>
        <family val="2"/>
        <scheme val="minor"/>
      </rPr>
      <t xml:space="preserve">3 </t>
    </r>
    <r>
      <rPr>
        <sz val="11"/>
        <color theme="1"/>
        <rFont val="Calibri"/>
        <family val="2"/>
        <scheme val="minor"/>
      </rPr>
      <t>/h</t>
    </r>
  </si>
  <si>
    <r>
      <t>Flow m</t>
    </r>
    <r>
      <rPr>
        <vertAlign val="superscript"/>
        <sz val="11"/>
        <color theme="1"/>
        <rFont val="Calibri"/>
        <family val="2"/>
        <scheme val="minor"/>
      </rPr>
      <t xml:space="preserve">3 </t>
    </r>
    <r>
      <rPr>
        <sz val="11"/>
        <color theme="1"/>
        <rFont val="Calibri"/>
        <family val="2"/>
        <scheme val="minor"/>
      </rPr>
      <t>/h</t>
    </r>
  </si>
  <si>
    <t>Modello</t>
  </si>
  <si>
    <t>Potenza totale in watt</t>
  </si>
  <si>
    <t>Power consumption watt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</si>
</sst>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_-* #,##0.00_-;\-* #,##0.00_-;_-* &quot;-&quot;??_-;_-@_-"/>
    <numFmt numFmtId="166"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vertAlign val="superscript"/>
      <sz val="11"/>
      <color theme="1"/>
      <name val="Calibri"/>
      <family val="2"/>
      <scheme val="minor"/>
    </font>
    <font>
      <sz val="11"/>
      <color theme="1"/>
      <name val="Wingdings 3"/>
      <family val="1"/>
      <charset val="2"/>
    </font>
    <font>
      <sz val="6"/>
      <color theme="1"/>
      <name val="Wingdings 3"/>
      <family val="1"/>
      <charset val="2"/>
    </font>
    <font>
      <u/>
      <sz val="11"/>
      <color theme="10"/>
      <name val="Calibri"/>
      <family val="2"/>
      <scheme val="minor"/>
    </font>
    <font>
      <sz val="11"/>
      <name val="Calibri"/>
      <family val="2"/>
      <scheme val="minor"/>
    </font>
    <font>
      <b/>
      <sz val="11"/>
      <color rgb="FFFF0000"/>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s>
  <borders count="30">
    <border>
      <left/>
      <right/>
      <top/>
      <bottom/>
      <diagonal/>
    </border>
    <border>
      <left style="medium">
        <color theme="0"/>
      </left>
      <right style="medium">
        <color theme="0" tint="-0.14996795556505021"/>
      </right>
      <top style="medium">
        <color theme="0"/>
      </top>
      <bottom style="medium">
        <color theme="0" tint="-0.14996795556505021"/>
      </bottom>
      <diagonal/>
    </border>
    <border>
      <left style="medium">
        <color theme="0"/>
      </left>
      <right/>
      <top/>
      <bottom/>
      <diagonal/>
    </border>
    <border>
      <left style="medium">
        <color theme="0"/>
      </left>
      <right/>
      <top style="medium">
        <color theme="0"/>
      </top>
      <bottom style="medium">
        <color theme="0" tint="-0.14996795556505021"/>
      </bottom>
      <diagonal/>
    </border>
    <border>
      <left/>
      <right style="medium">
        <color theme="0" tint="-0.14996795556505021"/>
      </right>
      <top style="medium">
        <color theme="0"/>
      </top>
      <bottom style="medium">
        <color theme="0" tint="-0.14996795556505021"/>
      </bottom>
      <diagonal/>
    </border>
    <border>
      <left style="medium">
        <color theme="0" tint="-0.14996795556505021"/>
      </left>
      <right style="thin">
        <color theme="0" tint="-0.14993743705557422"/>
      </right>
      <top style="thin">
        <color theme="0" tint="-0.14993743705557422"/>
      </top>
      <bottom style="thin">
        <color theme="0" tint="-0.14993743705557422"/>
      </bottom>
      <diagonal/>
    </border>
    <border>
      <left/>
      <right/>
      <top style="medium">
        <color theme="0"/>
      </top>
      <bottom style="medium">
        <color theme="0" tint="-0.14996795556505021"/>
      </bottom>
      <diagonal/>
    </border>
    <border>
      <left/>
      <right style="medium">
        <color theme="0" tint="-0.14996795556505021"/>
      </right>
      <top style="medium">
        <color theme="0"/>
      </top>
      <bottom/>
      <diagonal/>
    </border>
    <border>
      <left/>
      <right/>
      <top style="medium">
        <color theme="0"/>
      </top>
      <bottom/>
      <diagonal/>
    </border>
    <border>
      <left/>
      <right style="medium">
        <color theme="0" tint="-0.14996795556505021"/>
      </right>
      <top/>
      <bottom/>
      <diagonal/>
    </border>
    <border>
      <left style="medium">
        <color theme="0"/>
      </left>
      <right/>
      <top/>
      <bottom style="medium">
        <color theme="0" tint="-0.14996795556505021"/>
      </bottom>
      <diagonal/>
    </border>
    <border>
      <left/>
      <right/>
      <top/>
      <bottom style="medium">
        <color theme="0" tint="-0.14996795556505021"/>
      </bottom>
      <diagonal/>
    </border>
    <border>
      <left style="medium">
        <color theme="0"/>
      </left>
      <right/>
      <top style="medium">
        <color theme="0"/>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medium">
        <color theme="0" tint="-0.14996795556505021"/>
      </right>
      <top style="thin">
        <color theme="0" tint="-0.14993743705557422"/>
      </top>
      <bottom style="medium">
        <color theme="0" tint="-0.14996795556505021"/>
      </bottom>
      <diagonal/>
    </border>
    <border>
      <left style="thin">
        <color theme="4"/>
      </left>
      <right style="thin">
        <color theme="4"/>
      </right>
      <top style="thin">
        <color theme="4"/>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cellStyleXfs>
  <cellXfs count="96">
    <xf numFmtId="0" fontId="0" fillId="0" borderId="0" xfId="0"/>
    <xf numFmtId="0" fontId="0" fillId="2" borderId="0" xfId="0" applyFill="1" applyAlignment="1">
      <alignment horizontal="center" vertical="center" wrapText="1"/>
    </xf>
    <xf numFmtId="0" fontId="0" fillId="2" borderId="0" xfId="0" applyFill="1" applyAlignment="1">
      <alignment horizontal="center" vertical="center" textRotation="90" wrapText="1"/>
    </xf>
    <xf numFmtId="164" fontId="0" fillId="0" borderId="0" xfId="2" applyFont="1"/>
    <xf numFmtId="9" fontId="0" fillId="0" borderId="0" xfId="3" applyFont="1"/>
    <xf numFmtId="164" fontId="0" fillId="0" borderId="0" xfId="0" applyNumberFormat="1"/>
    <xf numFmtId="164" fontId="2" fillId="0" borderId="0" xfId="2" applyFont="1"/>
    <xf numFmtId="164" fontId="2" fillId="0" borderId="0" xfId="0" applyNumberFormat="1" applyFont="1"/>
    <xf numFmtId="164" fontId="1" fillId="0" borderId="0" xfId="2" applyFont="1"/>
    <xf numFmtId="165" fontId="0" fillId="0" borderId="0" xfId="1" applyFont="1"/>
    <xf numFmtId="9" fontId="3" fillId="0" borderId="0" xfId="3" applyFont="1"/>
    <xf numFmtId="0" fontId="3" fillId="0" borderId="0" xfId="0" applyFont="1" applyAlignment="1"/>
    <xf numFmtId="0" fontId="0" fillId="0" borderId="0" xfId="0"/>
    <xf numFmtId="9" fontId="0" fillId="0" borderId="0" xfId="3" applyFont="1"/>
    <xf numFmtId="0" fontId="3" fillId="0" borderId="0" xfId="0" applyFont="1"/>
    <xf numFmtId="165" fontId="0" fillId="3" borderId="0" xfId="1" applyFont="1" applyFill="1" applyBorder="1" applyProtection="1"/>
    <xf numFmtId="165" fontId="0" fillId="0" borderId="5" xfId="1" applyFont="1" applyFill="1" applyBorder="1" applyProtection="1">
      <protection locked="0"/>
    </xf>
    <xf numFmtId="0" fontId="0" fillId="3" borderId="0" xfId="0" applyFill="1" applyBorder="1" applyProtection="1"/>
    <xf numFmtId="0" fontId="0" fillId="3" borderId="1" xfId="0" applyFill="1" applyBorder="1" applyProtection="1"/>
    <xf numFmtId="165" fontId="0" fillId="3" borderId="5" xfId="1" applyFont="1" applyFill="1" applyBorder="1" applyProtection="1"/>
    <xf numFmtId="0" fontId="0" fillId="3" borderId="3" xfId="0" applyFill="1" applyBorder="1" applyProtection="1"/>
    <xf numFmtId="0" fontId="0" fillId="3" borderId="6" xfId="0" applyFill="1" applyBorder="1" applyProtection="1"/>
    <xf numFmtId="165" fontId="0" fillId="3" borderId="4" xfId="1" applyFont="1" applyFill="1" applyBorder="1" applyProtection="1"/>
    <xf numFmtId="49" fontId="0" fillId="0" borderId="0" xfId="0" applyNumberFormat="1" applyAlignment="1"/>
    <xf numFmtId="0" fontId="0" fillId="3" borderId="12" xfId="0" applyFill="1" applyBorder="1" applyAlignment="1" applyProtection="1">
      <alignment horizontal="center"/>
    </xf>
    <xf numFmtId="0" fontId="0" fillId="3" borderId="8" xfId="0" applyFill="1" applyBorder="1" applyAlignment="1" applyProtection="1">
      <alignment horizontal="center"/>
    </xf>
    <xf numFmtId="0" fontId="0" fillId="3" borderId="7" xfId="0" applyFill="1" applyBorder="1" applyAlignment="1" applyProtection="1">
      <alignment horizontal="center"/>
    </xf>
    <xf numFmtId="0" fontId="6" fillId="3" borderId="2" xfId="0" applyFont="1" applyFill="1" applyBorder="1" applyAlignment="1" applyProtection="1">
      <alignment horizontal="center" vertical="center" shrinkToFit="1"/>
    </xf>
    <xf numFmtId="0" fontId="0" fillId="3" borderId="0" xfId="0" applyFill="1" applyBorder="1" applyAlignment="1" applyProtection="1">
      <alignment horizontal="center"/>
    </xf>
    <xf numFmtId="0" fontId="6" fillId="3" borderId="9" xfId="0" applyFont="1" applyFill="1" applyBorder="1" applyAlignment="1" applyProtection="1">
      <alignment horizontal="center" vertical="center" shrinkToFit="1"/>
    </xf>
    <xf numFmtId="165" fontId="0" fillId="0" borderId="13" xfId="1" applyFont="1" applyFill="1" applyBorder="1" applyAlignment="1" applyProtection="1">
      <alignment horizontal="center"/>
      <protection locked="0"/>
    </xf>
    <xf numFmtId="0" fontId="5" fillId="3" borderId="0" xfId="0" applyFont="1" applyFill="1" applyBorder="1" applyAlignment="1" applyProtection="1">
      <alignment horizontal="center"/>
    </xf>
    <xf numFmtId="165" fontId="0" fillId="3" borderId="9" xfId="1" applyFont="1" applyFill="1" applyBorder="1" applyAlignment="1" applyProtection="1">
      <alignment horizontal="center"/>
    </xf>
    <xf numFmtId="0" fontId="0" fillId="3" borderId="2" xfId="0" applyFill="1" applyBorder="1" applyAlignment="1" applyProtection="1">
      <alignment horizontal="center"/>
    </xf>
    <xf numFmtId="0" fontId="0" fillId="3" borderId="9" xfId="0" applyFill="1" applyBorder="1" applyAlignment="1" applyProtection="1">
      <alignment horizontal="center"/>
    </xf>
    <xf numFmtId="165" fontId="0" fillId="3" borderId="10" xfId="1" applyFont="1" applyFill="1" applyBorder="1" applyAlignment="1" applyProtection="1">
      <alignment horizontal="center"/>
    </xf>
    <xf numFmtId="0" fontId="5" fillId="3" borderId="11" xfId="0" applyFont="1" applyFill="1" applyBorder="1" applyAlignment="1" applyProtection="1">
      <alignment horizontal="center"/>
    </xf>
    <xf numFmtId="165" fontId="0" fillId="0" borderId="14" xfId="1" applyFont="1" applyFill="1" applyBorder="1" applyAlignment="1" applyProtection="1">
      <alignment horizontal="center"/>
      <protection locked="0"/>
    </xf>
    <xf numFmtId="49" fontId="0" fillId="0" borderId="0" xfId="0" applyNumberFormat="1" applyAlignment="1"/>
    <xf numFmtId="49" fontId="0" fillId="0" borderId="0" xfId="0" applyNumberFormat="1" applyAlignment="1"/>
    <xf numFmtId="0" fontId="0" fillId="0" borderId="0" xfId="0"/>
    <xf numFmtId="49" fontId="0" fillId="0" borderId="0" xfId="0" applyNumberFormat="1" applyAlignment="1"/>
    <xf numFmtId="164" fontId="0" fillId="0" borderId="0" xfId="2" applyNumberFormat="1" applyFont="1"/>
    <xf numFmtId="0" fontId="0" fillId="0" borderId="0" xfId="0" applyAlignment="1">
      <alignment wrapText="1"/>
    </xf>
    <xf numFmtId="0" fontId="2" fillId="0" borderId="0" xfId="0" applyFont="1"/>
    <xf numFmtId="0" fontId="7" fillId="0" borderId="0" xfId="5"/>
    <xf numFmtId="0" fontId="0" fillId="0" borderId="0" xfId="0" quotePrefix="1"/>
    <xf numFmtId="0" fontId="0" fillId="0" borderId="0" xfId="0" applyFill="1"/>
    <xf numFmtId="0" fontId="8" fillId="0" borderId="0" xfId="0" applyFont="1" applyFill="1" applyBorder="1"/>
    <xf numFmtId="0" fontId="0" fillId="0" borderId="0" xfId="0" applyFont="1" applyFill="1" applyBorder="1"/>
    <xf numFmtId="0" fontId="0" fillId="0" borderId="15" xfId="0" applyFill="1" applyBorder="1"/>
    <xf numFmtId="0" fontId="0" fillId="0" borderId="0" xfId="0" applyFill="1" applyBorder="1"/>
    <xf numFmtId="166" fontId="0" fillId="0" borderId="0" xfId="0" applyNumberFormat="1" applyFill="1" applyBorder="1"/>
    <xf numFmtId="164" fontId="0" fillId="0" borderId="0" xfId="2" applyNumberFormat="1" applyFont="1" applyFill="1" applyBorder="1"/>
    <xf numFmtId="0" fontId="0" fillId="0" borderId="16" xfId="0" applyFont="1" applyFill="1" applyBorder="1"/>
    <xf numFmtId="166" fontId="0" fillId="0" borderId="16" xfId="0" applyNumberFormat="1" applyFill="1" applyBorder="1"/>
    <xf numFmtId="0" fontId="0" fillId="0" borderId="16" xfId="0" applyFill="1" applyBorder="1"/>
    <xf numFmtId="164" fontId="0" fillId="0" borderId="16" xfId="2" applyNumberFormat="1" applyFont="1" applyFill="1" applyBorder="1"/>
    <xf numFmtId="164" fontId="2" fillId="0" borderId="16" xfId="2" applyNumberFormat="1" applyFont="1" applyFill="1" applyBorder="1"/>
    <xf numFmtId="164" fontId="0" fillId="0" borderId="16" xfId="2" applyFont="1" applyFill="1" applyBorder="1"/>
    <xf numFmtId="0" fontId="0" fillId="0" borderId="17" xfId="0" applyFill="1" applyBorder="1"/>
    <xf numFmtId="0" fontId="3" fillId="0" borderId="0" xfId="0" applyFont="1" applyFill="1"/>
    <xf numFmtId="164" fontId="9" fillId="0" borderId="0" xfId="2" applyFont="1"/>
    <xf numFmtId="164" fontId="3" fillId="0" borderId="0" xfId="2" applyFont="1"/>
    <xf numFmtId="0" fontId="0" fillId="0" borderId="16" xfId="0" applyFill="1" applyBorder="1" applyAlignment="1">
      <alignment horizontal="center" vertical="center"/>
    </xf>
    <xf numFmtId="0" fontId="0" fillId="0" borderId="17" xfId="0" applyFill="1" applyBorder="1" applyAlignment="1">
      <alignment horizontal="left"/>
    </xf>
    <xf numFmtId="0" fontId="0" fillId="0" borderId="18" xfId="0" applyFill="1" applyBorder="1" applyAlignment="1">
      <alignment horizontal="left"/>
    </xf>
    <xf numFmtId="0" fontId="0" fillId="0" borderId="19" xfId="0" applyFill="1" applyBorder="1" applyAlignment="1">
      <alignment horizontal="left"/>
    </xf>
    <xf numFmtId="0" fontId="0" fillId="0" borderId="16" xfId="0" applyFill="1" applyBorder="1" applyAlignment="1">
      <alignment horizontal="left" wrapText="1"/>
    </xf>
    <xf numFmtId="0" fontId="0" fillId="0" borderId="16" xfId="0" applyFill="1" applyBorder="1" applyAlignment="1">
      <alignment horizontal="center" vertical="center"/>
    </xf>
    <xf numFmtId="0" fontId="2" fillId="3" borderId="3" xfId="0" applyFont="1" applyFill="1" applyBorder="1" applyAlignment="1" applyProtection="1">
      <alignment horizontal="center"/>
    </xf>
    <xf numFmtId="0" fontId="2" fillId="3" borderId="4" xfId="0" applyFont="1" applyFill="1" applyBorder="1" applyAlignment="1" applyProtection="1">
      <alignment horizontal="center"/>
    </xf>
    <xf numFmtId="0" fontId="0" fillId="0" borderId="0" xfId="0" applyFill="1" applyBorder="1" applyAlignment="1">
      <alignment horizontal="center" vertical="center"/>
    </xf>
    <xf numFmtId="0" fontId="0" fillId="0" borderId="0" xfId="0" applyAlignment="1">
      <alignment horizontal="center" vertical="center"/>
    </xf>
    <xf numFmtId="166" fontId="0" fillId="0" borderId="16" xfId="0" applyNumberFormat="1" applyFill="1" applyBorder="1" applyAlignment="1">
      <alignment horizontal="center" vertical="center"/>
    </xf>
    <xf numFmtId="166" fontId="0" fillId="0" borderId="0" xfId="0" applyNumberFormat="1" applyFill="1" applyBorder="1" applyAlignment="1">
      <alignment horizontal="center" vertical="center"/>
    </xf>
    <xf numFmtId="0" fontId="0" fillId="0" borderId="16" xfId="0" applyFont="1" applyFill="1" applyBorder="1" applyAlignment="1">
      <alignment horizontal="left" vertical="center"/>
    </xf>
    <xf numFmtId="0" fontId="0" fillId="0" borderId="0" xfId="0" applyFont="1" applyFill="1" applyBorder="1" applyAlignment="1">
      <alignment horizontal="left" vertical="center"/>
    </xf>
    <xf numFmtId="0" fontId="0" fillId="0" borderId="20" xfId="0" applyFill="1" applyBorder="1" applyAlignment="1">
      <alignment horizontal="center" vertical="center"/>
    </xf>
    <xf numFmtId="0" fontId="0" fillId="0" borderId="20" xfId="0" applyFont="1" applyFill="1" applyBorder="1" applyAlignment="1">
      <alignment horizontal="left" vertical="center"/>
    </xf>
    <xf numFmtId="166" fontId="0" fillId="0" borderId="20" xfId="0" applyNumberFormat="1"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166" fontId="0" fillId="0" borderId="28" xfId="0" applyNumberFormat="1" applyFill="1" applyBorder="1" applyAlignment="1">
      <alignment horizontal="center" vertical="center"/>
    </xf>
    <xf numFmtId="0" fontId="0" fillId="0" borderId="29" xfId="0" applyFill="1" applyBorder="1" applyAlignment="1">
      <alignment horizontal="center" vertical="center"/>
    </xf>
    <xf numFmtId="0" fontId="0" fillId="0" borderId="25" xfId="0" applyFont="1" applyFill="1" applyBorder="1" applyAlignment="1">
      <alignment horizontal="left" vertical="center"/>
    </xf>
    <xf numFmtId="166" fontId="0" fillId="0" borderId="25" xfId="0" applyNumberFormat="1" applyFill="1" applyBorder="1" applyAlignment="1">
      <alignment horizontal="center" vertical="center"/>
    </xf>
    <xf numFmtId="166" fontId="0" fillId="0" borderId="26" xfId="0" applyNumberFormat="1" applyFill="1" applyBorder="1" applyAlignment="1">
      <alignment horizontal="center" vertical="center"/>
    </xf>
  </cellXfs>
  <cellStyles count="6">
    <cellStyle name="Collegamento ipertestuale" xfId="5" builtinId="8"/>
    <cellStyle name="Migliaia" xfId="1" builtinId="3"/>
    <cellStyle name="Normale" xfId="0" builtinId="0"/>
    <cellStyle name="Percentuale" xfId="3" builtinId="5"/>
    <cellStyle name="Valuta" xfId="2" builtinId="4"/>
    <cellStyle name="Valuta 2" xfId="4"/>
  </cellStyles>
  <dxfs count="3">
    <dxf>
      <font>
        <b val="0"/>
        <i val="0"/>
        <strike val="0"/>
        <condense val="0"/>
        <extend val="0"/>
        <outline val="0"/>
        <shadow val="0"/>
        <u val="none"/>
        <vertAlign val="baseline"/>
        <sz val="11"/>
        <color theme="1"/>
        <name val="Calibri"/>
        <scheme val="minor"/>
      </font>
    </dxf>
    <dxf>
      <fill>
        <patternFill patternType="none">
          <fgColor indexed="64"/>
          <bgColor auto="1"/>
        </patternFill>
      </fill>
    </dxf>
    <dxf>
      <fill>
        <patternFill patternType="solid">
          <fgColor indexed="64"/>
          <bgColor theme="3" tint="0.59999389629810485"/>
        </patternFill>
      </fill>
      <alignment horizontal="center" vertical="center" textRotation="9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 name="Tabella52" displayName="Tabella52" ref="A1:R1048575" totalsRowShown="0" headerRowDxfId="2">
  <autoFilter ref="A1:R1048575"/>
  <sortState ref="A2:R389">
    <sortCondition ref="A2:A389"/>
    <sortCondition ref="C2:C389"/>
  </sortState>
  <tableColumns count="18">
    <tableColumn id="1" name="Classe" dataDxfId="1"/>
    <tableColumn id="18" name="Q.tà"/>
    <tableColumn id="2" name="Codice"/>
    <tableColumn id="3" name="Descrizione"/>
    <tableColumn id="4" name="Prezzo 2016"/>
    <tableColumn id="5" name="Max"/>
    <tableColumn id="6" name="Imponibile" dataDxfId="0" dataCellStyle="Percentuale"/>
    <tableColumn id="7" name=" Lampade"/>
    <tableColumn id="8" name="Prevalenza (m)"/>
    <tableColumn id="9" name="Uscita"/>
    <tableColumn id="10" name="Portata"/>
    <tableColumn id="11" name="Potenza (W)"/>
    <tableColumn id="12" name="Capacità termica max (mc)"/>
    <tableColumn id="13" name="Vol (l)"/>
    <tableColumn id="14" name="Spessore"/>
    <tableColumn id="15" name="Dimensioni scatolato"/>
    <tableColumn id="16" name="Dimensioni (h x Ø x p) mm"/>
    <tableColumn id="17" name="Peso (kg)"/>
  </tableColumns>
  <tableStyleInfo name="TableStyleLight1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9"/>
  <sheetViews>
    <sheetView workbookViewId="0">
      <pane xSplit="4" ySplit="1" topLeftCell="E287" activePane="bottomRight" state="frozen"/>
      <selection pane="topRight" activeCell="C1" sqref="C1"/>
      <selection pane="bottomLeft" activeCell="A12" sqref="A12"/>
      <selection pane="bottomRight" activeCell="E303" sqref="E303"/>
    </sheetView>
  </sheetViews>
  <sheetFormatPr defaultRowHeight="14.4" x14ac:dyDescent="0.3"/>
  <cols>
    <col min="1" max="1" width="26.21875" style="47" bestFit="1" customWidth="1"/>
    <col min="2" max="2" width="9.21875" bestFit="1" customWidth="1"/>
    <col min="3" max="3" width="28.5546875" style="12" bestFit="1" customWidth="1"/>
    <col min="4" max="4" width="57.21875" customWidth="1"/>
    <col min="5" max="5" width="12" bestFit="1" customWidth="1"/>
    <col min="6" max="6" width="8.21875" bestFit="1" customWidth="1"/>
    <col min="7" max="7" width="14.77734375" style="4" bestFit="1" customWidth="1"/>
    <col min="8" max="12" width="8.21875" bestFit="1" customWidth="1"/>
    <col min="13" max="13" width="11.109375" bestFit="1" customWidth="1"/>
    <col min="14" max="14" width="9.5546875" bestFit="1" customWidth="1"/>
    <col min="15" max="15" width="8.21875" bestFit="1" customWidth="1"/>
    <col min="16" max="16" width="11.109375" bestFit="1" customWidth="1"/>
    <col min="17" max="17" width="20.109375" bestFit="1" customWidth="1"/>
    <col min="18" max="19" width="8.21875" bestFit="1" customWidth="1"/>
  </cols>
  <sheetData>
    <row r="1" spans="1:18" ht="90" customHeight="1" x14ac:dyDescent="0.3">
      <c r="A1" s="1" t="s">
        <v>0</v>
      </c>
      <c r="B1" s="1" t="s">
        <v>806</v>
      </c>
      <c r="C1" s="1"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row>
    <row r="2" spans="1:18" x14ac:dyDescent="0.3">
      <c r="A2" s="47" t="s">
        <v>367</v>
      </c>
      <c r="B2" s="12"/>
      <c r="C2" t="s">
        <v>369</v>
      </c>
      <c r="E2" s="3">
        <f>457*1.05</f>
        <v>479.85</v>
      </c>
      <c r="F2" s="4">
        <f>1-G2*2.1/E2</f>
        <v>4.6870897155361191E-2</v>
      </c>
      <c r="G2" s="3">
        <v>217.79</v>
      </c>
    </row>
    <row r="3" spans="1:18" x14ac:dyDescent="0.3">
      <c r="A3" s="47" t="s">
        <v>367</v>
      </c>
      <c r="B3" s="12"/>
      <c r="C3" t="s">
        <v>370</v>
      </c>
      <c r="E3" s="3">
        <v>1040</v>
      </c>
      <c r="F3" s="4">
        <f>1-G3*2.1/E3</f>
        <v>0.18356442307692311</v>
      </c>
      <c r="G3" s="3">
        <v>404.33</v>
      </c>
    </row>
    <row r="4" spans="1:18" x14ac:dyDescent="0.3">
      <c r="A4" s="47" t="s">
        <v>367</v>
      </c>
      <c r="B4" s="12"/>
      <c r="C4" t="s">
        <v>368</v>
      </c>
      <c r="E4" s="3">
        <v>400</v>
      </c>
      <c r="F4" s="4">
        <f>1-G4*2.1/E4</f>
        <v>0.22593999999999992</v>
      </c>
      <c r="G4" s="3">
        <v>147.44</v>
      </c>
      <c r="H4" s="12"/>
    </row>
    <row r="5" spans="1:18" x14ac:dyDescent="0.3">
      <c r="A5" s="47" t="s">
        <v>546</v>
      </c>
      <c r="B5" s="12"/>
      <c r="C5" t="s">
        <v>547</v>
      </c>
      <c r="D5" s="40" t="s">
        <v>548</v>
      </c>
      <c r="E5" s="3">
        <f>+G5*2.47</f>
        <v>1.1115000000000002</v>
      </c>
      <c r="F5" s="13">
        <v>0.15</v>
      </c>
      <c r="G5" s="3">
        <v>0.45</v>
      </c>
      <c r="H5" s="40"/>
      <c r="N5">
        <v>1000</v>
      </c>
      <c r="P5" t="s">
        <v>549</v>
      </c>
    </row>
    <row r="6" spans="1:18" x14ac:dyDescent="0.3">
      <c r="A6" s="47" t="s">
        <v>546</v>
      </c>
      <c r="B6" s="12"/>
      <c r="C6" t="s">
        <v>550</v>
      </c>
      <c r="D6" t="s">
        <v>551</v>
      </c>
      <c r="E6" s="3">
        <f>+G6*2.47</f>
        <v>1.7042999999999999</v>
      </c>
      <c r="F6" s="4">
        <v>0.15</v>
      </c>
      <c r="G6" s="3">
        <v>0.69</v>
      </c>
      <c r="N6">
        <v>1000</v>
      </c>
      <c r="P6" t="s">
        <v>549</v>
      </c>
    </row>
    <row r="7" spans="1:18" x14ac:dyDescent="0.3">
      <c r="A7" s="47" t="s">
        <v>421</v>
      </c>
      <c r="B7" s="12"/>
      <c r="C7" t="s">
        <v>491</v>
      </c>
      <c r="D7" t="s">
        <v>492</v>
      </c>
      <c r="E7" s="6">
        <v>149</v>
      </c>
      <c r="F7" s="4">
        <f t="shared" ref="F7:F38" si="0">1-G7*2.1/E7</f>
        <v>-0.16025000000000023</v>
      </c>
      <c r="G7" s="5">
        <f t="shared" ref="G7:G18" si="1">E7*0.65*0.85</f>
        <v>82.322500000000005</v>
      </c>
    </row>
    <row r="8" spans="1:18" x14ac:dyDescent="0.3">
      <c r="A8" s="47" t="s">
        <v>421</v>
      </c>
      <c r="B8" s="12"/>
      <c r="C8" t="s">
        <v>493</v>
      </c>
      <c r="D8" t="s">
        <v>494</v>
      </c>
      <c r="E8" s="6">
        <v>179</v>
      </c>
      <c r="F8" s="4">
        <f t="shared" si="0"/>
        <v>-0.16025000000000023</v>
      </c>
      <c r="G8" s="5">
        <f t="shared" si="1"/>
        <v>98.897500000000008</v>
      </c>
    </row>
    <row r="9" spans="1:18" x14ac:dyDescent="0.3">
      <c r="A9" s="47" t="s">
        <v>421</v>
      </c>
      <c r="B9" s="12"/>
      <c r="C9" t="s">
        <v>495</v>
      </c>
      <c r="D9" t="s">
        <v>496</v>
      </c>
      <c r="E9" s="6">
        <v>219</v>
      </c>
      <c r="F9" s="4">
        <f t="shared" si="0"/>
        <v>-0.16024999999999978</v>
      </c>
      <c r="G9" s="5">
        <f t="shared" si="1"/>
        <v>120.99749999999999</v>
      </c>
    </row>
    <row r="10" spans="1:18" x14ac:dyDescent="0.3">
      <c r="A10" s="47" t="s">
        <v>421</v>
      </c>
      <c r="B10" s="12"/>
      <c r="C10" t="s">
        <v>484</v>
      </c>
      <c r="D10" t="s">
        <v>485</v>
      </c>
      <c r="E10" s="6">
        <v>761</v>
      </c>
      <c r="F10" s="4">
        <f t="shared" si="0"/>
        <v>-0.16025000000000023</v>
      </c>
      <c r="G10" s="5">
        <f t="shared" si="1"/>
        <v>420.45250000000004</v>
      </c>
      <c r="L10">
        <v>315</v>
      </c>
      <c r="M10">
        <v>1</v>
      </c>
    </row>
    <row r="11" spans="1:18" x14ac:dyDescent="0.3">
      <c r="A11" s="47" t="s">
        <v>421</v>
      </c>
      <c r="B11" s="12"/>
      <c r="C11" t="s">
        <v>758</v>
      </c>
      <c r="D11" t="s">
        <v>757</v>
      </c>
      <c r="E11" s="6">
        <v>10650</v>
      </c>
      <c r="F11" s="4">
        <f t="shared" si="0"/>
        <v>-0.16025</v>
      </c>
      <c r="G11" s="3">
        <f t="shared" si="1"/>
        <v>5884.125</v>
      </c>
    </row>
    <row r="12" spans="1:18" x14ac:dyDescent="0.3">
      <c r="A12" s="47" t="s">
        <v>421</v>
      </c>
      <c r="B12" s="12"/>
      <c r="C12" t="s">
        <v>486</v>
      </c>
      <c r="D12" t="s">
        <v>487</v>
      </c>
      <c r="E12" s="6">
        <v>916</v>
      </c>
      <c r="F12" s="4">
        <f t="shared" si="0"/>
        <v>-0.16025</v>
      </c>
      <c r="G12" s="5">
        <f t="shared" si="1"/>
        <v>506.09</v>
      </c>
      <c r="L12">
        <v>440</v>
      </c>
      <c r="M12">
        <v>2</v>
      </c>
    </row>
    <row r="13" spans="1:18" x14ac:dyDescent="0.3">
      <c r="A13" s="47" t="s">
        <v>421</v>
      </c>
      <c r="B13" s="12"/>
      <c r="C13" t="s">
        <v>750</v>
      </c>
      <c r="D13" t="s">
        <v>488</v>
      </c>
      <c r="E13" s="6">
        <v>2240</v>
      </c>
      <c r="F13" s="4">
        <f t="shared" si="0"/>
        <v>-0.16025</v>
      </c>
      <c r="G13" s="5">
        <f t="shared" si="1"/>
        <v>1237.5999999999999</v>
      </c>
      <c r="L13">
        <v>750</v>
      </c>
      <c r="M13">
        <v>3</v>
      </c>
    </row>
    <row r="14" spans="1:18" x14ac:dyDescent="0.3">
      <c r="A14" s="47" t="s">
        <v>421</v>
      </c>
      <c r="B14" s="12"/>
      <c r="C14" t="s">
        <v>482</v>
      </c>
      <c r="D14" t="s">
        <v>483</v>
      </c>
      <c r="E14" s="6">
        <v>575</v>
      </c>
      <c r="F14" s="4">
        <f t="shared" si="0"/>
        <v>-0.16025000000000023</v>
      </c>
      <c r="G14" s="5">
        <f t="shared" si="1"/>
        <v>317.6875</v>
      </c>
      <c r="L14">
        <v>225</v>
      </c>
      <c r="M14">
        <v>0.5</v>
      </c>
    </row>
    <row r="15" spans="1:18" x14ac:dyDescent="0.3">
      <c r="A15" s="47" t="s">
        <v>421</v>
      </c>
      <c r="B15" s="12"/>
      <c r="C15" t="s">
        <v>751</v>
      </c>
      <c r="D15" t="s">
        <v>489</v>
      </c>
      <c r="E15" s="6">
        <v>4230</v>
      </c>
      <c r="F15" s="4">
        <f t="shared" si="0"/>
        <v>-0.16025</v>
      </c>
      <c r="G15" s="5">
        <f t="shared" si="1"/>
        <v>2337.0749999999998</v>
      </c>
      <c r="L15">
        <v>2030</v>
      </c>
    </row>
    <row r="16" spans="1:18" x14ac:dyDescent="0.3">
      <c r="A16" s="47" t="s">
        <v>421</v>
      </c>
      <c r="B16" s="12"/>
      <c r="C16" t="s">
        <v>752</v>
      </c>
      <c r="D16" t="s">
        <v>490</v>
      </c>
      <c r="E16" s="6">
        <v>3051</v>
      </c>
      <c r="F16" s="4">
        <f t="shared" si="0"/>
        <v>-0.16025</v>
      </c>
      <c r="G16" s="5">
        <f t="shared" si="1"/>
        <v>1685.6775</v>
      </c>
      <c r="L16">
        <v>900</v>
      </c>
      <c r="M16">
        <v>6</v>
      </c>
    </row>
    <row r="17" spans="1:13" x14ac:dyDescent="0.3">
      <c r="A17" s="47" t="s">
        <v>421</v>
      </c>
      <c r="B17" s="12"/>
      <c r="C17" t="s">
        <v>755</v>
      </c>
      <c r="D17" t="s">
        <v>756</v>
      </c>
      <c r="E17" s="6">
        <v>6128</v>
      </c>
      <c r="F17" s="4">
        <f t="shared" si="0"/>
        <v>-0.16025</v>
      </c>
      <c r="G17" s="5">
        <f t="shared" si="1"/>
        <v>3385.7200000000003</v>
      </c>
    </row>
    <row r="18" spans="1:13" x14ac:dyDescent="0.3">
      <c r="A18" s="47" t="s">
        <v>421</v>
      </c>
      <c r="B18" s="12"/>
      <c r="C18" t="s">
        <v>753</v>
      </c>
      <c r="D18" t="s">
        <v>754</v>
      </c>
      <c r="E18" s="6">
        <v>3480</v>
      </c>
      <c r="F18" s="4">
        <f t="shared" si="0"/>
        <v>-0.16025</v>
      </c>
      <c r="G18" s="5">
        <f t="shared" si="1"/>
        <v>1922.7</v>
      </c>
    </row>
    <row r="19" spans="1:13" x14ac:dyDescent="0.3">
      <c r="A19" s="47" t="s">
        <v>421</v>
      </c>
      <c r="B19" s="12"/>
      <c r="C19" t="s">
        <v>467</v>
      </c>
      <c r="D19" t="s">
        <v>468</v>
      </c>
      <c r="E19" s="6">
        <v>575</v>
      </c>
      <c r="F19" s="4">
        <f t="shared" si="0"/>
        <v>-0.36499999999999999</v>
      </c>
      <c r="G19" s="5">
        <f t="shared" ref="G19:G24" si="2">E19*0.65</f>
        <v>373.75</v>
      </c>
      <c r="L19">
        <v>250</v>
      </c>
      <c r="M19">
        <v>0.3</v>
      </c>
    </row>
    <row r="20" spans="1:13" x14ac:dyDescent="0.3">
      <c r="A20" s="47" t="s">
        <v>421</v>
      </c>
      <c r="B20" s="12"/>
      <c r="C20" t="s">
        <v>469</v>
      </c>
      <c r="D20" t="s">
        <v>470</v>
      </c>
      <c r="E20" s="6">
        <v>761</v>
      </c>
      <c r="F20" s="4">
        <f t="shared" si="0"/>
        <v>-0.36500000000000021</v>
      </c>
      <c r="G20" s="5">
        <f t="shared" si="2"/>
        <v>494.65000000000003</v>
      </c>
      <c r="L20">
        <v>400</v>
      </c>
      <c r="M20">
        <v>0.5</v>
      </c>
    </row>
    <row r="21" spans="1:13" x14ac:dyDescent="0.3">
      <c r="A21" s="47" t="s">
        <v>421</v>
      </c>
      <c r="B21" s="12"/>
      <c r="C21" t="s">
        <v>471</v>
      </c>
      <c r="D21" t="s">
        <v>472</v>
      </c>
      <c r="E21" s="6">
        <v>916</v>
      </c>
      <c r="F21" s="4">
        <f t="shared" si="0"/>
        <v>-0.36499999999999999</v>
      </c>
      <c r="G21" s="5">
        <f t="shared" si="2"/>
        <v>595.4</v>
      </c>
      <c r="L21">
        <v>650</v>
      </c>
      <c r="M21">
        <v>0.8</v>
      </c>
    </row>
    <row r="22" spans="1:13" x14ac:dyDescent="0.3">
      <c r="A22" s="47" t="s">
        <v>421</v>
      </c>
      <c r="B22" s="12"/>
      <c r="C22" t="s">
        <v>473</v>
      </c>
      <c r="D22" t="s">
        <v>474</v>
      </c>
      <c r="E22" s="6">
        <v>1919</v>
      </c>
      <c r="F22" s="4">
        <f t="shared" si="0"/>
        <v>-0.36500000000000021</v>
      </c>
      <c r="G22" s="5">
        <f t="shared" si="2"/>
        <v>1247.3500000000001</v>
      </c>
      <c r="L22">
        <v>850</v>
      </c>
      <c r="M22">
        <v>2</v>
      </c>
    </row>
    <row r="23" spans="1:13" x14ac:dyDescent="0.3">
      <c r="A23" s="47" t="s">
        <v>421</v>
      </c>
      <c r="B23" s="12"/>
      <c r="C23" t="s">
        <v>465</v>
      </c>
      <c r="D23" t="s">
        <v>466</v>
      </c>
      <c r="E23" s="6">
        <v>449</v>
      </c>
      <c r="F23" s="4">
        <f t="shared" si="0"/>
        <v>-0.36500000000000021</v>
      </c>
      <c r="G23" s="5">
        <f t="shared" si="2"/>
        <v>291.85000000000002</v>
      </c>
      <c r="L23">
        <v>160</v>
      </c>
      <c r="M23">
        <v>0.2</v>
      </c>
    </row>
    <row r="24" spans="1:13" x14ac:dyDescent="0.3">
      <c r="A24" s="47" t="s">
        <v>421</v>
      </c>
      <c r="B24" s="12"/>
      <c r="C24" t="s">
        <v>475</v>
      </c>
      <c r="D24" t="s">
        <v>476</v>
      </c>
      <c r="E24" s="6">
        <v>2556</v>
      </c>
      <c r="F24" s="4">
        <f t="shared" si="0"/>
        <v>-0.36500000000000021</v>
      </c>
      <c r="G24" s="5">
        <f t="shared" si="2"/>
        <v>1661.4</v>
      </c>
      <c r="L24">
        <v>1500</v>
      </c>
      <c r="M24">
        <v>3</v>
      </c>
    </row>
    <row r="25" spans="1:13" x14ac:dyDescent="0.3">
      <c r="A25" s="47" t="s">
        <v>421</v>
      </c>
      <c r="B25" s="12"/>
      <c r="C25" t="s">
        <v>747</v>
      </c>
      <c r="D25" t="s">
        <v>477</v>
      </c>
      <c r="E25" s="6">
        <v>380</v>
      </c>
      <c r="F25" s="4">
        <f t="shared" si="0"/>
        <v>-0.16025</v>
      </c>
      <c r="G25" s="5">
        <f>E25*0.65*0.85</f>
        <v>209.95</v>
      </c>
      <c r="L25">
        <v>150</v>
      </c>
      <c r="M25">
        <v>0.15</v>
      </c>
    </row>
    <row r="26" spans="1:13" x14ac:dyDescent="0.3">
      <c r="A26" s="47" t="s">
        <v>421</v>
      </c>
      <c r="B26" s="12"/>
      <c r="C26" t="s">
        <v>478</v>
      </c>
      <c r="D26" t="s">
        <v>479</v>
      </c>
      <c r="E26" s="6">
        <v>1919</v>
      </c>
      <c r="F26" s="4">
        <f t="shared" si="0"/>
        <v>-0.16025000000000023</v>
      </c>
      <c r="G26" s="5">
        <f>E26*0.65*0.85</f>
        <v>1060.2475000000002</v>
      </c>
      <c r="L26">
        <v>750</v>
      </c>
      <c r="M26">
        <v>3</v>
      </c>
    </row>
    <row r="27" spans="1:13" x14ac:dyDescent="0.3">
      <c r="A27" s="47" t="s">
        <v>421</v>
      </c>
      <c r="B27" s="12"/>
      <c r="C27" t="s">
        <v>480</v>
      </c>
      <c r="D27" t="s">
        <v>481</v>
      </c>
      <c r="E27" s="6">
        <v>2556</v>
      </c>
      <c r="F27" s="4">
        <f t="shared" si="0"/>
        <v>-0.16025</v>
      </c>
      <c r="G27" s="5">
        <f>E27*0.65*0.85</f>
        <v>1412.19</v>
      </c>
      <c r="L27">
        <v>900</v>
      </c>
      <c r="M27">
        <v>6</v>
      </c>
    </row>
    <row r="28" spans="1:13" x14ac:dyDescent="0.3">
      <c r="A28" s="47" t="s">
        <v>421</v>
      </c>
      <c r="B28" s="12"/>
      <c r="C28" t="s">
        <v>748</v>
      </c>
      <c r="D28" t="s">
        <v>749</v>
      </c>
      <c r="E28" s="6">
        <v>2955</v>
      </c>
      <c r="F28" s="4">
        <f t="shared" si="0"/>
        <v>-0.16025</v>
      </c>
      <c r="G28" s="5">
        <f>E28*0.65*0.85</f>
        <v>1632.6375</v>
      </c>
      <c r="L28">
        <v>440</v>
      </c>
      <c r="M28">
        <v>2</v>
      </c>
    </row>
    <row r="29" spans="1:13" x14ac:dyDescent="0.3">
      <c r="A29" s="47" t="s">
        <v>421</v>
      </c>
      <c r="B29" s="12"/>
      <c r="C29" t="s">
        <v>422</v>
      </c>
      <c r="D29" t="s">
        <v>423</v>
      </c>
      <c r="E29" s="6">
        <f>17.75*2.47</f>
        <v>43.842500000000001</v>
      </c>
      <c r="F29" s="4">
        <f t="shared" si="0"/>
        <v>0.14979757085020251</v>
      </c>
      <c r="G29" s="3">
        <v>17.75</v>
      </c>
      <c r="H29" s="12"/>
      <c r="L29">
        <v>200</v>
      </c>
      <c r="M29">
        <v>0.2</v>
      </c>
    </row>
    <row r="30" spans="1:13" x14ac:dyDescent="0.3">
      <c r="A30" s="47" t="s">
        <v>421</v>
      </c>
      <c r="B30" s="12"/>
      <c r="C30" t="s">
        <v>424</v>
      </c>
      <c r="D30" t="s">
        <v>425</v>
      </c>
      <c r="E30" s="6">
        <v>517</v>
      </c>
      <c r="F30" s="4">
        <f t="shared" si="0"/>
        <v>0.32978723404255317</v>
      </c>
      <c r="G30" s="3">
        <v>165</v>
      </c>
      <c r="H30" s="12"/>
      <c r="L30">
        <v>1500</v>
      </c>
      <c r="M30">
        <v>5</v>
      </c>
    </row>
    <row r="31" spans="1:13" x14ac:dyDescent="0.3">
      <c r="A31" s="47" t="s">
        <v>421</v>
      </c>
      <c r="B31" s="12"/>
      <c r="C31" t="s">
        <v>432</v>
      </c>
      <c r="D31" t="s">
        <v>433</v>
      </c>
      <c r="E31" s="6">
        <v>470</v>
      </c>
      <c r="F31" s="4">
        <f t="shared" si="0"/>
        <v>5.4999999999999938E-2</v>
      </c>
      <c r="G31" s="3">
        <f t="shared" ref="G31:G51" si="3">E31*0.45</f>
        <v>211.5</v>
      </c>
      <c r="L31">
        <v>12000</v>
      </c>
      <c r="M31">
        <v>40</v>
      </c>
    </row>
    <row r="32" spans="1:13" x14ac:dyDescent="0.3">
      <c r="A32" s="47" t="s">
        <v>421</v>
      </c>
      <c r="B32" s="12"/>
      <c r="C32" t="s">
        <v>434</v>
      </c>
      <c r="D32" t="s">
        <v>435</v>
      </c>
      <c r="E32" s="6">
        <v>510</v>
      </c>
      <c r="F32" s="4">
        <f t="shared" si="0"/>
        <v>5.4999999999999938E-2</v>
      </c>
      <c r="G32" s="3">
        <f t="shared" si="3"/>
        <v>229.5</v>
      </c>
      <c r="L32">
        <v>18000</v>
      </c>
      <c r="M32">
        <v>60</v>
      </c>
    </row>
    <row r="33" spans="1:13" x14ac:dyDescent="0.3">
      <c r="A33" s="47" t="s">
        <v>421</v>
      </c>
      <c r="B33" s="12"/>
      <c r="C33" t="s">
        <v>426</v>
      </c>
      <c r="D33" t="s">
        <v>427</v>
      </c>
      <c r="E33" s="6">
        <v>410</v>
      </c>
      <c r="F33" s="4">
        <f t="shared" si="0"/>
        <v>5.5000000000000049E-2</v>
      </c>
      <c r="G33" s="3">
        <f t="shared" si="3"/>
        <v>184.5</v>
      </c>
      <c r="L33">
        <v>3000</v>
      </c>
      <c r="M33">
        <v>10</v>
      </c>
    </row>
    <row r="34" spans="1:13" x14ac:dyDescent="0.3">
      <c r="A34" s="47" t="s">
        <v>421</v>
      </c>
      <c r="B34" s="12"/>
      <c r="C34" t="s">
        <v>428</v>
      </c>
      <c r="D34" t="s">
        <v>429</v>
      </c>
      <c r="E34" s="6">
        <v>430</v>
      </c>
      <c r="F34" s="4">
        <f t="shared" si="0"/>
        <v>5.4999999999999938E-2</v>
      </c>
      <c r="G34" s="3">
        <f t="shared" si="3"/>
        <v>193.5</v>
      </c>
      <c r="L34">
        <v>6000</v>
      </c>
      <c r="M34">
        <v>20</v>
      </c>
    </row>
    <row r="35" spans="1:13" x14ac:dyDescent="0.3">
      <c r="A35" s="47" t="s">
        <v>421</v>
      </c>
      <c r="B35" s="12"/>
      <c r="C35" t="s">
        <v>430</v>
      </c>
      <c r="D35" t="s">
        <v>431</v>
      </c>
      <c r="E35" s="6">
        <v>450</v>
      </c>
      <c r="F35" s="4">
        <f t="shared" si="0"/>
        <v>5.5000000000000049E-2</v>
      </c>
      <c r="G35" s="3">
        <f t="shared" si="3"/>
        <v>202.5</v>
      </c>
      <c r="L35">
        <v>9000</v>
      </c>
      <c r="M35">
        <v>30</v>
      </c>
    </row>
    <row r="36" spans="1:13" x14ac:dyDescent="0.3">
      <c r="A36" s="47" t="s">
        <v>421</v>
      </c>
      <c r="B36" s="12"/>
      <c r="C36" t="s">
        <v>436</v>
      </c>
      <c r="D36" t="s">
        <v>437</v>
      </c>
      <c r="E36" s="6">
        <v>979</v>
      </c>
      <c r="F36" s="4">
        <f t="shared" si="0"/>
        <v>5.4999999999999938E-2</v>
      </c>
      <c r="G36" s="3">
        <f t="shared" si="3"/>
        <v>440.55</v>
      </c>
      <c r="L36">
        <v>3000</v>
      </c>
      <c r="M36">
        <v>10</v>
      </c>
    </row>
    <row r="37" spans="1:13" x14ac:dyDescent="0.3">
      <c r="A37" s="47" t="s">
        <v>421</v>
      </c>
      <c r="B37" s="12"/>
      <c r="C37" t="s">
        <v>444</v>
      </c>
      <c r="D37" t="s">
        <v>445</v>
      </c>
      <c r="E37" s="6">
        <v>1350</v>
      </c>
      <c r="F37" s="4">
        <f t="shared" si="0"/>
        <v>5.5000000000000049E-2</v>
      </c>
      <c r="G37" s="3">
        <f t="shared" si="3"/>
        <v>607.5</v>
      </c>
      <c r="L37">
        <v>12000</v>
      </c>
      <c r="M37">
        <v>40</v>
      </c>
    </row>
    <row r="38" spans="1:13" x14ac:dyDescent="0.3">
      <c r="A38" s="47" t="s">
        <v>421</v>
      </c>
      <c r="B38" s="12"/>
      <c r="C38" t="s">
        <v>446</v>
      </c>
      <c r="D38" t="s">
        <v>447</v>
      </c>
      <c r="E38" s="6">
        <v>1382.8</v>
      </c>
      <c r="F38" s="4">
        <f t="shared" si="0"/>
        <v>5.4999999999999938E-2</v>
      </c>
      <c r="G38" s="3">
        <f t="shared" si="3"/>
        <v>622.26</v>
      </c>
      <c r="L38">
        <v>18000</v>
      </c>
      <c r="M38">
        <v>60</v>
      </c>
    </row>
    <row r="39" spans="1:13" x14ac:dyDescent="0.3">
      <c r="A39" s="47" t="s">
        <v>421</v>
      </c>
      <c r="B39" s="12"/>
      <c r="C39" t="s">
        <v>438</v>
      </c>
      <c r="D39" t="s">
        <v>439</v>
      </c>
      <c r="E39" s="6">
        <v>1290</v>
      </c>
      <c r="F39" s="4">
        <f t="shared" ref="F39:F70" si="4">1-G39*2.1/E39</f>
        <v>5.5000000000000049E-2</v>
      </c>
      <c r="G39" s="3">
        <f t="shared" si="3"/>
        <v>580.5</v>
      </c>
      <c r="L39">
        <v>3000</v>
      </c>
      <c r="M39">
        <v>10</v>
      </c>
    </row>
    <row r="40" spans="1:13" x14ac:dyDescent="0.3">
      <c r="A40" s="47" t="s">
        <v>421</v>
      </c>
      <c r="B40" s="12"/>
      <c r="C40" t="s">
        <v>440</v>
      </c>
      <c r="D40" t="s">
        <v>441</v>
      </c>
      <c r="E40" s="6">
        <v>1310</v>
      </c>
      <c r="F40" s="4">
        <f t="shared" si="4"/>
        <v>5.4999999999999938E-2</v>
      </c>
      <c r="G40" s="3">
        <f t="shared" si="3"/>
        <v>589.5</v>
      </c>
      <c r="L40">
        <v>6000</v>
      </c>
      <c r="M40">
        <v>20</v>
      </c>
    </row>
    <row r="41" spans="1:13" x14ac:dyDescent="0.3">
      <c r="A41" s="47" t="s">
        <v>421</v>
      </c>
      <c r="B41" s="12"/>
      <c r="C41" t="s">
        <v>442</v>
      </c>
      <c r="D41" t="s">
        <v>443</v>
      </c>
      <c r="E41" s="6">
        <v>1330</v>
      </c>
      <c r="F41" s="4">
        <f t="shared" si="4"/>
        <v>5.4999999999999938E-2</v>
      </c>
      <c r="G41" s="3">
        <f t="shared" si="3"/>
        <v>598.5</v>
      </c>
      <c r="L41">
        <v>9000</v>
      </c>
      <c r="M41">
        <v>30</v>
      </c>
    </row>
    <row r="42" spans="1:13" x14ac:dyDescent="0.3">
      <c r="A42" s="47" t="s">
        <v>421</v>
      </c>
      <c r="B42" s="12"/>
      <c r="C42" t="s">
        <v>456</v>
      </c>
      <c r="D42" t="s">
        <v>457</v>
      </c>
      <c r="E42" s="6">
        <v>1539</v>
      </c>
      <c r="F42" s="4">
        <f t="shared" si="4"/>
        <v>5.4999999999999827E-2</v>
      </c>
      <c r="G42" s="3">
        <f t="shared" si="3"/>
        <v>692.55000000000007</v>
      </c>
      <c r="L42">
        <v>104000</v>
      </c>
      <c r="M42">
        <v>400</v>
      </c>
    </row>
    <row r="43" spans="1:13" x14ac:dyDescent="0.3">
      <c r="A43" s="47" t="s">
        <v>421</v>
      </c>
      <c r="B43" s="12"/>
      <c r="C43" t="s">
        <v>458</v>
      </c>
      <c r="D43" t="s">
        <v>459</v>
      </c>
      <c r="E43" s="6">
        <v>2475</v>
      </c>
      <c r="F43" s="4">
        <f t="shared" si="4"/>
        <v>5.5000000000000049E-2</v>
      </c>
      <c r="G43" s="3">
        <f t="shared" si="3"/>
        <v>1113.75</v>
      </c>
      <c r="L43">
        <v>140000</v>
      </c>
      <c r="M43">
        <v>455</v>
      </c>
    </row>
    <row r="44" spans="1:13" x14ac:dyDescent="0.3">
      <c r="A44" s="47" t="s">
        <v>421</v>
      </c>
      <c r="B44" s="12"/>
      <c r="C44" t="s">
        <v>448</v>
      </c>
      <c r="D44" t="s">
        <v>449</v>
      </c>
      <c r="E44" s="6">
        <v>696</v>
      </c>
      <c r="F44" s="4">
        <f t="shared" si="4"/>
        <v>5.4999999999999938E-2</v>
      </c>
      <c r="G44" s="3">
        <f t="shared" si="3"/>
        <v>313.2</v>
      </c>
      <c r="L44">
        <v>20000</v>
      </c>
      <c r="M44">
        <v>69</v>
      </c>
    </row>
    <row r="45" spans="1:13" x14ac:dyDescent="0.3">
      <c r="A45" s="47" t="s">
        <v>421</v>
      </c>
      <c r="B45" s="12"/>
      <c r="C45" t="s">
        <v>460</v>
      </c>
      <c r="D45" t="s">
        <v>461</v>
      </c>
      <c r="E45" s="6">
        <v>2950</v>
      </c>
      <c r="F45" s="4">
        <f t="shared" si="4"/>
        <v>5.5000000000000049E-2</v>
      </c>
      <c r="G45" s="3">
        <f t="shared" si="3"/>
        <v>1327.5</v>
      </c>
      <c r="L45">
        <v>209000</v>
      </c>
      <c r="M45">
        <v>540</v>
      </c>
    </row>
    <row r="46" spans="1:13" x14ac:dyDescent="0.3">
      <c r="A46" s="47" t="s">
        <v>421</v>
      </c>
      <c r="B46" s="12"/>
      <c r="C46" t="s">
        <v>450</v>
      </c>
      <c r="D46" t="s">
        <v>451</v>
      </c>
      <c r="E46" s="6">
        <v>740</v>
      </c>
      <c r="F46" s="4">
        <f t="shared" si="4"/>
        <v>5.4999999999999938E-2</v>
      </c>
      <c r="G46" s="3">
        <f t="shared" si="3"/>
        <v>333</v>
      </c>
      <c r="L46">
        <v>30000</v>
      </c>
      <c r="M46">
        <v>137</v>
      </c>
    </row>
    <row r="47" spans="1:13" x14ac:dyDescent="0.3">
      <c r="A47" s="47" t="s">
        <v>421</v>
      </c>
      <c r="B47" s="12"/>
      <c r="C47" t="s">
        <v>452</v>
      </c>
      <c r="D47" t="s">
        <v>453</v>
      </c>
      <c r="E47" s="6">
        <v>691</v>
      </c>
      <c r="F47" s="4">
        <f t="shared" si="4"/>
        <v>5.5000000000000049E-2</v>
      </c>
      <c r="G47" s="3">
        <f t="shared" si="3"/>
        <v>310.95</v>
      </c>
      <c r="L47">
        <v>40000</v>
      </c>
      <c r="M47">
        <v>206</v>
      </c>
    </row>
    <row r="48" spans="1:13" x14ac:dyDescent="0.3">
      <c r="A48" s="47" t="s">
        <v>421</v>
      </c>
      <c r="B48" s="12"/>
      <c r="C48" t="s">
        <v>454</v>
      </c>
      <c r="D48" t="s">
        <v>455</v>
      </c>
      <c r="E48" s="6">
        <v>1155</v>
      </c>
      <c r="F48" s="4">
        <f t="shared" si="4"/>
        <v>5.4999999999999827E-2</v>
      </c>
      <c r="G48" s="3">
        <f t="shared" si="3"/>
        <v>519.75</v>
      </c>
      <c r="L48">
        <v>70000</v>
      </c>
      <c r="M48">
        <v>313</v>
      </c>
    </row>
    <row r="49" spans="1:18" x14ac:dyDescent="0.3">
      <c r="A49" s="47" t="s">
        <v>421</v>
      </c>
      <c r="B49" s="12"/>
      <c r="C49" t="s">
        <v>462</v>
      </c>
      <c r="D49" t="s">
        <v>441</v>
      </c>
      <c r="E49" s="6">
        <v>665</v>
      </c>
      <c r="F49" s="4">
        <f t="shared" si="4"/>
        <v>5.4999999999999938E-2</v>
      </c>
      <c r="G49" s="3">
        <f t="shared" si="3"/>
        <v>299.25</v>
      </c>
      <c r="L49">
        <v>20000</v>
      </c>
      <c r="M49">
        <v>69</v>
      </c>
    </row>
    <row r="50" spans="1:18" x14ac:dyDescent="0.3">
      <c r="A50" s="47" t="s">
        <v>421</v>
      </c>
      <c r="B50" s="12"/>
      <c r="C50" t="s">
        <v>463</v>
      </c>
      <c r="D50" t="s">
        <v>443</v>
      </c>
      <c r="E50" s="6">
        <v>820</v>
      </c>
      <c r="F50" s="4">
        <f t="shared" si="4"/>
        <v>5.5000000000000049E-2</v>
      </c>
      <c r="G50" s="3">
        <f t="shared" si="3"/>
        <v>369</v>
      </c>
      <c r="L50">
        <v>40000</v>
      </c>
      <c r="M50">
        <v>137</v>
      </c>
    </row>
    <row r="51" spans="1:18" x14ac:dyDescent="0.3">
      <c r="A51" s="47" t="s">
        <v>421</v>
      </c>
      <c r="B51" s="12"/>
      <c r="C51" t="s">
        <v>464</v>
      </c>
      <c r="D51" t="s">
        <v>445</v>
      </c>
      <c r="E51" s="6">
        <v>997</v>
      </c>
      <c r="F51" s="4">
        <f t="shared" si="4"/>
        <v>5.4999999999999938E-2</v>
      </c>
      <c r="G51" s="3">
        <f t="shared" si="3"/>
        <v>448.65000000000003</v>
      </c>
      <c r="L51">
        <v>60000</v>
      </c>
      <c r="M51">
        <v>206</v>
      </c>
    </row>
    <row r="52" spans="1:18" x14ac:dyDescent="0.3">
      <c r="A52" s="47" t="s">
        <v>776</v>
      </c>
      <c r="B52" s="12"/>
      <c r="C52" t="s">
        <v>759</v>
      </c>
      <c r="D52" t="s">
        <v>511</v>
      </c>
      <c r="E52" s="8">
        <f>G52*2.47</f>
        <v>468.85540000000003</v>
      </c>
      <c r="F52" s="4">
        <f t="shared" si="4"/>
        <v>0.14979757085020251</v>
      </c>
      <c r="G52" s="5">
        <v>189.82</v>
      </c>
    </row>
    <row r="53" spans="1:18" x14ac:dyDescent="0.3">
      <c r="A53" s="47" t="s">
        <v>776</v>
      </c>
      <c r="B53" s="12"/>
      <c r="C53" t="s">
        <v>501</v>
      </c>
      <c r="D53" t="s">
        <v>502</v>
      </c>
      <c r="E53" s="6">
        <v>50</v>
      </c>
      <c r="F53" s="4">
        <f t="shared" si="4"/>
        <v>-0.16025</v>
      </c>
      <c r="G53" s="5">
        <f t="shared" ref="G53:G59" si="5">E53*0.65*0.85</f>
        <v>27.625</v>
      </c>
    </row>
    <row r="54" spans="1:18" x14ac:dyDescent="0.3">
      <c r="A54" s="47" t="s">
        <v>776</v>
      </c>
      <c r="B54" s="12"/>
      <c r="C54" t="s">
        <v>509</v>
      </c>
      <c r="D54" t="s">
        <v>510</v>
      </c>
      <c r="E54" s="6">
        <v>26</v>
      </c>
      <c r="F54" s="4">
        <f t="shared" si="4"/>
        <v>-0.16025000000000023</v>
      </c>
      <c r="G54" s="5">
        <f t="shared" si="5"/>
        <v>14.365000000000002</v>
      </c>
    </row>
    <row r="55" spans="1:18" x14ac:dyDescent="0.3">
      <c r="A55" s="47" t="s">
        <v>776</v>
      </c>
      <c r="B55" s="12"/>
      <c r="C55" t="s">
        <v>505</v>
      </c>
      <c r="D55" t="s">
        <v>506</v>
      </c>
      <c r="E55" s="6">
        <v>8</v>
      </c>
      <c r="F55" s="4">
        <f t="shared" si="4"/>
        <v>-0.16025</v>
      </c>
      <c r="G55" s="5">
        <f t="shared" si="5"/>
        <v>4.42</v>
      </c>
    </row>
    <row r="56" spans="1:18" x14ac:dyDescent="0.3">
      <c r="A56" s="47" t="s">
        <v>776</v>
      </c>
      <c r="B56" s="12"/>
      <c r="C56" t="s">
        <v>503</v>
      </c>
      <c r="D56" t="s">
        <v>504</v>
      </c>
      <c r="E56" s="6">
        <v>5.5</v>
      </c>
      <c r="F56" s="4">
        <f t="shared" si="4"/>
        <v>-0.16025000000000023</v>
      </c>
      <c r="G56" s="5">
        <f t="shared" si="5"/>
        <v>3.0387500000000003</v>
      </c>
    </row>
    <row r="57" spans="1:18" x14ac:dyDescent="0.3">
      <c r="A57" s="47" t="s">
        <v>776</v>
      </c>
      <c r="B57" s="12"/>
      <c r="C57" t="s">
        <v>499</v>
      </c>
      <c r="D57" t="s">
        <v>500</v>
      </c>
      <c r="E57" s="6">
        <v>27</v>
      </c>
      <c r="F57" s="4">
        <f t="shared" si="4"/>
        <v>-0.16025</v>
      </c>
      <c r="G57" s="5">
        <f t="shared" si="5"/>
        <v>14.9175</v>
      </c>
    </row>
    <row r="58" spans="1:18" x14ac:dyDescent="0.3">
      <c r="A58" s="47" t="s">
        <v>776</v>
      </c>
      <c r="B58" s="12"/>
      <c r="C58" t="s">
        <v>507</v>
      </c>
      <c r="D58" t="s">
        <v>508</v>
      </c>
      <c r="E58" s="6">
        <v>11.5</v>
      </c>
      <c r="F58" s="4">
        <f t="shared" si="4"/>
        <v>-0.16025</v>
      </c>
      <c r="G58" s="5">
        <f t="shared" si="5"/>
        <v>6.3537500000000007</v>
      </c>
    </row>
    <row r="59" spans="1:18" x14ac:dyDescent="0.3">
      <c r="A59" s="47" t="s">
        <v>776</v>
      </c>
      <c r="B59" s="12"/>
      <c r="C59" t="s">
        <v>497</v>
      </c>
      <c r="D59" t="s">
        <v>498</v>
      </c>
      <c r="E59" s="6">
        <v>95</v>
      </c>
      <c r="F59" s="4">
        <f t="shared" si="4"/>
        <v>-0.16025</v>
      </c>
      <c r="G59" s="5">
        <f t="shared" si="5"/>
        <v>52.487499999999997</v>
      </c>
    </row>
    <row r="60" spans="1:18" x14ac:dyDescent="0.3">
      <c r="A60" s="47" t="s">
        <v>285</v>
      </c>
      <c r="B60" s="12"/>
      <c r="C60" t="s">
        <v>290</v>
      </c>
      <c r="D60" t="s">
        <v>291</v>
      </c>
      <c r="E60" s="6">
        <v>870</v>
      </c>
      <c r="F60" s="13">
        <f t="shared" si="4"/>
        <v>-5.7531034482758647E-2</v>
      </c>
      <c r="G60" s="3">
        <v>438.12</v>
      </c>
      <c r="H60" s="12"/>
      <c r="K60">
        <f>282*0.75</f>
        <v>211.5</v>
      </c>
      <c r="L60">
        <v>1500</v>
      </c>
      <c r="R60">
        <v>48</v>
      </c>
    </row>
    <row r="61" spans="1:18" x14ac:dyDescent="0.3">
      <c r="A61" s="47" t="s">
        <v>285</v>
      </c>
      <c r="B61" s="12"/>
      <c r="C61" t="s">
        <v>292</v>
      </c>
      <c r="D61" t="s">
        <v>293</v>
      </c>
      <c r="E61" s="6">
        <v>948</v>
      </c>
      <c r="F61" s="13">
        <f t="shared" si="4"/>
        <v>-5.7531645569620204E-2</v>
      </c>
      <c r="G61" s="3">
        <v>477.4</v>
      </c>
      <c r="H61" s="12"/>
      <c r="K61">
        <f>282*0.75</f>
        <v>211.5</v>
      </c>
      <c r="L61">
        <v>1500</v>
      </c>
      <c r="R61">
        <v>48</v>
      </c>
    </row>
    <row r="62" spans="1:18" x14ac:dyDescent="0.3">
      <c r="A62" s="47" t="s">
        <v>285</v>
      </c>
      <c r="B62" s="12"/>
      <c r="C62" t="s">
        <v>286</v>
      </c>
      <c r="D62" t="s">
        <v>287</v>
      </c>
      <c r="E62" s="6">
        <v>3437</v>
      </c>
      <c r="F62" s="13">
        <f t="shared" si="4"/>
        <v>-0.15500000000000025</v>
      </c>
      <c r="G62" s="3">
        <f>E62*0.55</f>
        <v>1890.3500000000001</v>
      </c>
      <c r="H62" s="12"/>
      <c r="K62">
        <f>340*0.75</f>
        <v>255</v>
      </c>
      <c r="L62">
        <v>2200</v>
      </c>
      <c r="R62">
        <v>161</v>
      </c>
    </row>
    <row r="63" spans="1:18" x14ac:dyDescent="0.3">
      <c r="A63" s="47" t="s">
        <v>285</v>
      </c>
      <c r="B63" s="12"/>
      <c r="C63" t="s">
        <v>288</v>
      </c>
      <c r="D63" t="s">
        <v>289</v>
      </c>
      <c r="E63" s="6">
        <v>3401</v>
      </c>
      <c r="F63" s="13">
        <f t="shared" si="4"/>
        <v>-0.15500000000000025</v>
      </c>
      <c r="G63" s="3">
        <f>E63*0.55</f>
        <v>1870.5500000000002</v>
      </c>
      <c r="H63" s="12"/>
      <c r="K63">
        <f>340*0.75</f>
        <v>255</v>
      </c>
      <c r="L63">
        <v>2200</v>
      </c>
      <c r="R63">
        <v>161</v>
      </c>
    </row>
    <row r="64" spans="1:18" x14ac:dyDescent="0.3">
      <c r="A64" s="47" t="s">
        <v>285</v>
      </c>
      <c r="B64" s="12"/>
      <c r="C64" t="s">
        <v>294</v>
      </c>
      <c r="D64" t="s">
        <v>295</v>
      </c>
      <c r="E64" s="6">
        <v>1033</v>
      </c>
      <c r="F64" s="13">
        <f t="shared" si="4"/>
        <v>-0.15500000000000003</v>
      </c>
      <c r="G64" s="3">
        <v>568.15</v>
      </c>
      <c r="H64" s="12"/>
      <c r="K64">
        <v>400</v>
      </c>
      <c r="R64">
        <v>21</v>
      </c>
    </row>
    <row r="65" spans="1:18" x14ac:dyDescent="0.3">
      <c r="A65" s="47" t="s">
        <v>377</v>
      </c>
      <c r="B65" s="12"/>
      <c r="C65" t="s">
        <v>378</v>
      </c>
      <c r="E65" s="3">
        <f>G65*2.47</f>
        <v>354.90935999999999</v>
      </c>
      <c r="F65" s="13">
        <f t="shared" si="4"/>
        <v>0.1497975708502024</v>
      </c>
      <c r="G65" s="40">
        <v>143.68799999999999</v>
      </c>
      <c r="H65" s="12"/>
    </row>
    <row r="66" spans="1:18" x14ac:dyDescent="0.3">
      <c r="A66" s="47" t="s">
        <v>296</v>
      </c>
      <c r="B66" s="12"/>
      <c r="C66" t="s">
        <v>346</v>
      </c>
      <c r="D66" t="s">
        <v>347</v>
      </c>
      <c r="E66" s="7">
        <v>7519</v>
      </c>
      <c r="F66" s="13">
        <f t="shared" si="4"/>
        <v>5.4999999999999938E-2</v>
      </c>
      <c r="G66" s="3">
        <v>3383.55</v>
      </c>
      <c r="H66" s="12"/>
      <c r="J66" t="s">
        <v>348</v>
      </c>
      <c r="K66">
        <v>34</v>
      </c>
    </row>
    <row r="67" spans="1:18" x14ac:dyDescent="0.3">
      <c r="A67" s="47" t="s">
        <v>296</v>
      </c>
      <c r="B67" s="12"/>
      <c r="C67" t="s">
        <v>358</v>
      </c>
      <c r="D67" t="s">
        <v>359</v>
      </c>
      <c r="E67" s="7">
        <v>8247.4</v>
      </c>
      <c r="F67" s="13">
        <f t="shared" si="4"/>
        <v>7.3735359022237157E-2</v>
      </c>
      <c r="G67" s="3">
        <v>3637.75</v>
      </c>
      <c r="H67" s="12"/>
      <c r="J67" t="s">
        <v>348</v>
      </c>
      <c r="K67">
        <v>34</v>
      </c>
      <c r="R67">
        <v>2500</v>
      </c>
    </row>
    <row r="68" spans="1:18" x14ac:dyDescent="0.3">
      <c r="A68" s="47" t="s">
        <v>296</v>
      </c>
      <c r="B68" s="12"/>
      <c r="C68" t="s">
        <v>804</v>
      </c>
      <c r="D68" t="s">
        <v>365</v>
      </c>
      <c r="E68" s="7">
        <v>8861.2999999999993</v>
      </c>
      <c r="F68" s="13">
        <f t="shared" si="4"/>
        <v>9.5295836953945723E-2</v>
      </c>
      <c r="G68" s="3">
        <v>3817.55</v>
      </c>
      <c r="H68" s="12"/>
      <c r="J68" t="s">
        <v>348</v>
      </c>
      <c r="K68">
        <v>34</v>
      </c>
      <c r="R68">
        <v>2500</v>
      </c>
    </row>
    <row r="69" spans="1:18" x14ac:dyDescent="0.3">
      <c r="A69" s="47" t="s">
        <v>296</v>
      </c>
      <c r="B69" s="12"/>
      <c r="C69" t="s">
        <v>349</v>
      </c>
      <c r="D69" t="s">
        <v>350</v>
      </c>
      <c r="E69" s="7">
        <v>7828</v>
      </c>
      <c r="F69" s="13">
        <f t="shared" si="4"/>
        <v>5.5000000000000049E-2</v>
      </c>
      <c r="G69" s="3">
        <v>3522.6</v>
      </c>
      <c r="H69" s="12"/>
      <c r="J69" t="s">
        <v>351</v>
      </c>
      <c r="K69">
        <v>45</v>
      </c>
    </row>
    <row r="70" spans="1:18" x14ac:dyDescent="0.3">
      <c r="A70" s="47" t="s">
        <v>296</v>
      </c>
      <c r="B70" s="12"/>
      <c r="C70" t="s">
        <v>360</v>
      </c>
      <c r="D70" t="s">
        <v>361</v>
      </c>
      <c r="E70" s="7">
        <v>8780.5000000000018</v>
      </c>
      <c r="F70" s="13">
        <f t="shared" si="4"/>
        <v>7.8085530436763584E-2</v>
      </c>
      <c r="G70" s="3">
        <v>3854.6999999999994</v>
      </c>
      <c r="H70" s="12"/>
      <c r="J70" t="s">
        <v>351</v>
      </c>
      <c r="K70">
        <v>45</v>
      </c>
      <c r="R70">
        <v>3100</v>
      </c>
    </row>
    <row r="71" spans="1:18" x14ac:dyDescent="0.3">
      <c r="A71" s="47" t="s">
        <v>296</v>
      </c>
      <c r="B71" s="12"/>
      <c r="C71" t="s">
        <v>805</v>
      </c>
      <c r="D71" s="12" t="s">
        <v>366</v>
      </c>
      <c r="E71" s="7">
        <v>9581.6499999999978</v>
      </c>
      <c r="F71" s="13">
        <f t="shared" ref="F71:F102" si="6">1-G71*2.1/E71</f>
        <v>0.10368673453945809</v>
      </c>
      <c r="G71" s="3">
        <v>4089.6</v>
      </c>
      <c r="H71" s="12"/>
      <c r="J71" t="s">
        <v>351</v>
      </c>
      <c r="K71">
        <v>45</v>
      </c>
      <c r="R71">
        <v>3100</v>
      </c>
    </row>
    <row r="72" spans="1:18" x14ac:dyDescent="0.3">
      <c r="A72" s="47" t="s">
        <v>296</v>
      </c>
      <c r="B72" s="12"/>
      <c r="C72" t="s">
        <v>340</v>
      </c>
      <c r="D72" t="s">
        <v>341</v>
      </c>
      <c r="E72" s="7">
        <v>3399</v>
      </c>
      <c r="F72" s="4">
        <f t="shared" si="6"/>
        <v>5.5000000000000049E-2</v>
      </c>
      <c r="G72" s="3">
        <v>1529.55</v>
      </c>
      <c r="J72" t="s">
        <v>299</v>
      </c>
      <c r="K72">
        <v>13</v>
      </c>
    </row>
    <row r="73" spans="1:18" x14ac:dyDescent="0.3">
      <c r="A73" s="47" t="s">
        <v>296</v>
      </c>
      <c r="B73" s="12"/>
      <c r="C73" t="s">
        <v>352</v>
      </c>
      <c r="D73" t="s">
        <v>353</v>
      </c>
      <c r="E73" s="7">
        <v>3669.45</v>
      </c>
      <c r="F73" s="4">
        <f t="shared" si="6"/>
        <v>7.0682254833830505E-2</v>
      </c>
      <c r="G73" s="3">
        <v>1623.8500000000001</v>
      </c>
      <c r="J73" t="s">
        <v>299</v>
      </c>
      <c r="K73">
        <v>13</v>
      </c>
      <c r="R73">
        <v>820</v>
      </c>
    </row>
    <row r="74" spans="1:18" x14ac:dyDescent="0.3">
      <c r="A74" s="47" t="s">
        <v>296</v>
      </c>
      <c r="B74" s="12"/>
      <c r="C74" t="s">
        <v>801</v>
      </c>
      <c r="D74" t="s">
        <v>362</v>
      </c>
      <c r="E74" s="7">
        <v>3896.9500000000003</v>
      </c>
      <c r="F74" s="4">
        <f t="shared" si="6"/>
        <v>8.8991390702985673E-2</v>
      </c>
      <c r="G74" s="3">
        <v>1690.55</v>
      </c>
      <c r="J74" t="s">
        <v>299</v>
      </c>
      <c r="K74">
        <v>13</v>
      </c>
      <c r="R74">
        <v>820</v>
      </c>
    </row>
    <row r="75" spans="1:18" x14ac:dyDescent="0.3">
      <c r="A75" s="47" t="s">
        <v>296</v>
      </c>
      <c r="B75" s="12"/>
      <c r="C75" t="s">
        <v>342</v>
      </c>
      <c r="D75" t="s">
        <v>343</v>
      </c>
      <c r="E75" s="7">
        <v>4223</v>
      </c>
      <c r="F75" s="4">
        <f t="shared" si="6"/>
        <v>5.4999999999999827E-2</v>
      </c>
      <c r="G75" s="3">
        <v>1900.3500000000001</v>
      </c>
      <c r="J75" t="s">
        <v>306</v>
      </c>
      <c r="K75">
        <v>20</v>
      </c>
    </row>
    <row r="76" spans="1:18" x14ac:dyDescent="0.3">
      <c r="A76" s="47" t="s">
        <v>296</v>
      </c>
      <c r="B76" s="12"/>
      <c r="C76" t="s">
        <v>354</v>
      </c>
      <c r="D76" t="s">
        <v>355</v>
      </c>
      <c r="E76" s="7">
        <v>4610.8999999999996</v>
      </c>
      <c r="F76" s="4">
        <f t="shared" si="6"/>
        <v>7.2878396842264825E-2</v>
      </c>
      <c r="G76" s="3">
        <v>2035.65</v>
      </c>
      <c r="J76" t="s">
        <v>306</v>
      </c>
      <c r="K76">
        <v>20</v>
      </c>
      <c r="R76">
        <v>1180</v>
      </c>
    </row>
    <row r="77" spans="1:18" x14ac:dyDescent="0.3">
      <c r="A77" s="47" t="s">
        <v>296</v>
      </c>
      <c r="B77" s="12"/>
      <c r="C77" t="s">
        <v>802</v>
      </c>
      <c r="D77" t="s">
        <v>363</v>
      </c>
      <c r="E77" s="7">
        <v>4937.45</v>
      </c>
      <c r="F77" s="4">
        <f t="shared" si="6"/>
        <v>9.3492592330048696E-2</v>
      </c>
      <c r="G77" s="3">
        <v>2131.3500000000004</v>
      </c>
      <c r="J77" t="s">
        <v>306</v>
      </c>
      <c r="K77">
        <v>20</v>
      </c>
      <c r="R77">
        <v>1180</v>
      </c>
    </row>
    <row r="78" spans="1:18" x14ac:dyDescent="0.3">
      <c r="A78" s="47" t="s">
        <v>296</v>
      </c>
      <c r="B78" s="12"/>
      <c r="C78" t="s">
        <v>344</v>
      </c>
      <c r="D78" t="s">
        <v>345</v>
      </c>
      <c r="E78" s="7">
        <v>5150</v>
      </c>
      <c r="F78" s="4">
        <f t="shared" si="6"/>
        <v>5.5000000000000049E-2</v>
      </c>
      <c r="G78" s="3">
        <v>2317.5</v>
      </c>
      <c r="J78" t="s">
        <v>309</v>
      </c>
      <c r="K78">
        <v>28</v>
      </c>
    </row>
    <row r="79" spans="1:18" x14ac:dyDescent="0.3">
      <c r="A79" s="47" t="s">
        <v>296</v>
      </c>
      <c r="B79" s="12"/>
      <c r="C79" t="s">
        <v>356</v>
      </c>
      <c r="D79" t="s">
        <v>357</v>
      </c>
      <c r="E79" s="7">
        <v>5726.45</v>
      </c>
      <c r="F79" s="4">
        <f t="shared" si="6"/>
        <v>7.6453998550585323E-2</v>
      </c>
      <c r="G79" s="3">
        <v>2518.4</v>
      </c>
      <c r="J79" t="s">
        <v>309</v>
      </c>
      <c r="K79">
        <v>28</v>
      </c>
      <c r="R79">
        <v>1730</v>
      </c>
    </row>
    <row r="80" spans="1:18" x14ac:dyDescent="0.3">
      <c r="A80" s="47" t="s">
        <v>296</v>
      </c>
      <c r="B80" s="12"/>
      <c r="C80" t="s">
        <v>803</v>
      </c>
      <c r="D80" t="s">
        <v>364</v>
      </c>
      <c r="E80" s="7">
        <v>6210.85</v>
      </c>
      <c r="F80" s="4">
        <f t="shared" si="6"/>
        <v>0.10043713823389711</v>
      </c>
      <c r="G80" s="3">
        <v>2660.5</v>
      </c>
      <c r="J80" t="s">
        <v>309</v>
      </c>
      <c r="K80">
        <v>28</v>
      </c>
      <c r="R80">
        <v>1730</v>
      </c>
    </row>
    <row r="81" spans="1:11" x14ac:dyDescent="0.3">
      <c r="A81" s="47" t="s">
        <v>296</v>
      </c>
      <c r="B81" s="12"/>
      <c r="C81" t="s">
        <v>633</v>
      </c>
      <c r="D81" t="s">
        <v>657</v>
      </c>
      <c r="E81" s="6">
        <v>3940</v>
      </c>
      <c r="F81" s="4">
        <f t="shared" si="6"/>
        <v>-5.0000000000000044E-2</v>
      </c>
      <c r="G81" s="3">
        <f>E81/2</f>
        <v>1970</v>
      </c>
      <c r="J81">
        <v>100</v>
      </c>
      <c r="K81">
        <v>38</v>
      </c>
    </row>
    <row r="82" spans="1:11" x14ac:dyDescent="0.3">
      <c r="A82" s="47" t="s">
        <v>296</v>
      </c>
      <c r="B82" s="12"/>
      <c r="C82" t="s">
        <v>641</v>
      </c>
      <c r="D82" t="s">
        <v>665</v>
      </c>
      <c r="E82" s="7">
        <v>4693.7</v>
      </c>
      <c r="F82" s="4">
        <f t="shared" si="6"/>
        <v>-2.4628757696489867E-3</v>
      </c>
      <c r="G82" s="3">
        <v>2240.6000000000004</v>
      </c>
      <c r="J82">
        <v>100</v>
      </c>
      <c r="K82">
        <v>38</v>
      </c>
    </row>
    <row r="83" spans="1:11" x14ac:dyDescent="0.3">
      <c r="A83" s="47" t="s">
        <v>296</v>
      </c>
      <c r="B83" s="12"/>
      <c r="C83" t="s">
        <v>655</v>
      </c>
      <c r="D83" t="s">
        <v>673</v>
      </c>
      <c r="E83" s="7">
        <v>5368.9</v>
      </c>
      <c r="F83" s="4">
        <f t="shared" si="6"/>
        <v>4.8743690513885496E-2</v>
      </c>
      <c r="G83" s="3">
        <v>2432</v>
      </c>
      <c r="J83">
        <v>100</v>
      </c>
      <c r="K83">
        <v>38</v>
      </c>
    </row>
    <row r="84" spans="1:11" x14ac:dyDescent="0.3">
      <c r="A84" s="47" t="s">
        <v>296</v>
      </c>
      <c r="B84" s="12"/>
      <c r="C84" t="s">
        <v>718</v>
      </c>
      <c r="D84" t="s">
        <v>694</v>
      </c>
      <c r="E84" s="6">
        <v>4720</v>
      </c>
      <c r="F84" s="4">
        <f t="shared" si="6"/>
        <v>-5.0000000000000044E-2</v>
      </c>
      <c r="G84" s="3">
        <f>E84/2</f>
        <v>2360</v>
      </c>
      <c r="J84">
        <v>100</v>
      </c>
      <c r="K84">
        <v>38</v>
      </c>
    </row>
    <row r="85" spans="1:11" x14ac:dyDescent="0.3">
      <c r="A85" s="47" t="s">
        <v>296</v>
      </c>
      <c r="B85" s="12"/>
      <c r="C85" t="s">
        <v>726</v>
      </c>
      <c r="D85" t="s">
        <v>701</v>
      </c>
      <c r="E85" s="7">
        <v>5587.2</v>
      </c>
      <c r="F85" s="4">
        <f t="shared" si="6"/>
        <v>-4.1451890034365224E-3</v>
      </c>
      <c r="G85" s="5">
        <v>2671.6000000000004</v>
      </c>
      <c r="J85">
        <v>100</v>
      </c>
      <c r="K85">
        <v>38</v>
      </c>
    </row>
    <row r="86" spans="1:11" x14ac:dyDescent="0.3">
      <c r="A86" s="47" t="s">
        <v>296</v>
      </c>
      <c r="B86" s="12"/>
      <c r="C86" t="s">
        <v>734</v>
      </c>
      <c r="D86" t="s">
        <v>710</v>
      </c>
      <c r="E86" s="7">
        <v>6365.4</v>
      </c>
      <c r="F86" s="4">
        <f t="shared" si="6"/>
        <v>4.5904420774813826E-2</v>
      </c>
      <c r="G86" s="5">
        <v>2892</v>
      </c>
      <c r="J86">
        <v>100</v>
      </c>
      <c r="K86">
        <v>38</v>
      </c>
    </row>
    <row r="87" spans="1:11" x14ac:dyDescent="0.3">
      <c r="A87" s="47" t="s">
        <v>296</v>
      </c>
      <c r="B87" s="12"/>
      <c r="C87" t="s">
        <v>634</v>
      </c>
      <c r="D87" t="s">
        <v>658</v>
      </c>
      <c r="E87" s="6">
        <v>4720</v>
      </c>
      <c r="F87" s="4">
        <f t="shared" si="6"/>
        <v>-5.0000000000000044E-2</v>
      </c>
      <c r="G87" s="3">
        <f>E87/2</f>
        <v>2360</v>
      </c>
      <c r="J87">
        <v>100</v>
      </c>
      <c r="K87">
        <v>48</v>
      </c>
    </row>
    <row r="88" spans="1:11" x14ac:dyDescent="0.3">
      <c r="A88" s="47" t="s">
        <v>296</v>
      </c>
      <c r="B88" s="12"/>
      <c r="C88" t="s">
        <v>643</v>
      </c>
      <c r="D88" t="s">
        <v>666</v>
      </c>
      <c r="E88" s="7">
        <v>5565.45</v>
      </c>
      <c r="F88" s="4">
        <f t="shared" si="6"/>
        <v>-4.9753389213811339E-3</v>
      </c>
      <c r="G88" s="3">
        <v>2663.4</v>
      </c>
      <c r="J88">
        <v>100</v>
      </c>
      <c r="K88">
        <v>48</v>
      </c>
    </row>
    <row r="89" spans="1:11" x14ac:dyDescent="0.3">
      <c r="A89" s="47" t="s">
        <v>296</v>
      </c>
      <c r="B89" s="12"/>
      <c r="C89" t="s">
        <v>649</v>
      </c>
      <c r="D89" t="s">
        <v>674</v>
      </c>
      <c r="E89" s="7">
        <v>7167.55</v>
      </c>
      <c r="F89" s="4">
        <f t="shared" si="6"/>
        <v>6.7890701843726142E-2</v>
      </c>
      <c r="G89" s="3">
        <v>3181.4</v>
      </c>
      <c r="J89">
        <v>100</v>
      </c>
      <c r="K89">
        <v>48</v>
      </c>
    </row>
    <row r="90" spans="1:11" x14ac:dyDescent="0.3">
      <c r="A90" s="47" t="s">
        <v>296</v>
      </c>
      <c r="B90" s="12"/>
      <c r="C90" t="s">
        <v>719</v>
      </c>
      <c r="D90" t="s">
        <v>695</v>
      </c>
      <c r="E90" s="6">
        <v>5140</v>
      </c>
      <c r="F90" s="4">
        <f t="shared" si="6"/>
        <v>-5.0000000000000044E-2</v>
      </c>
      <c r="G90" s="3">
        <f>E90/2</f>
        <v>2570</v>
      </c>
      <c r="J90">
        <v>100</v>
      </c>
      <c r="K90">
        <v>48</v>
      </c>
    </row>
    <row r="91" spans="1:11" x14ac:dyDescent="0.3">
      <c r="A91" s="47" t="s">
        <v>296</v>
      </c>
      <c r="B91" s="12"/>
      <c r="C91" t="s">
        <v>727</v>
      </c>
      <c r="D91" t="s">
        <v>702</v>
      </c>
      <c r="E91" s="7">
        <v>6110.2999999999993</v>
      </c>
      <c r="F91" s="4">
        <f t="shared" si="6"/>
        <v>-3.0358574865392285E-3</v>
      </c>
      <c r="G91" s="5">
        <v>2918.5</v>
      </c>
      <c r="J91">
        <v>100</v>
      </c>
      <c r="K91">
        <v>48</v>
      </c>
    </row>
    <row r="92" spans="1:11" x14ac:dyDescent="0.3">
      <c r="A92" s="47" t="s">
        <v>296</v>
      </c>
      <c r="B92" s="12"/>
      <c r="C92" t="s">
        <v>735</v>
      </c>
      <c r="D92" t="s">
        <v>711</v>
      </c>
      <c r="E92" s="7">
        <v>6980.2500000000009</v>
      </c>
      <c r="F92" s="4">
        <f t="shared" si="6"/>
        <v>4.7813473729451106E-2</v>
      </c>
      <c r="G92" s="5">
        <v>3165</v>
      </c>
      <c r="J92">
        <v>100</v>
      </c>
      <c r="K92">
        <v>48</v>
      </c>
    </row>
    <row r="93" spans="1:11" x14ac:dyDescent="0.3">
      <c r="A93" s="47" t="s">
        <v>296</v>
      </c>
      <c r="B93" s="12"/>
      <c r="C93" t="s">
        <v>635</v>
      </c>
      <c r="D93" t="s">
        <v>659</v>
      </c>
      <c r="E93" s="6">
        <v>5300</v>
      </c>
      <c r="F93" s="4">
        <f t="shared" si="6"/>
        <v>-5.0000000000000044E-2</v>
      </c>
      <c r="G93" s="3">
        <f>E93/2</f>
        <v>2650</v>
      </c>
      <c r="J93">
        <v>125</v>
      </c>
      <c r="K93">
        <v>61</v>
      </c>
    </row>
    <row r="94" spans="1:11" x14ac:dyDescent="0.3">
      <c r="A94" s="47" t="s">
        <v>296</v>
      </c>
      <c r="B94" s="12"/>
      <c r="C94" t="s">
        <v>644</v>
      </c>
      <c r="D94" t="s">
        <v>667</v>
      </c>
      <c r="E94" s="7">
        <v>6282.55</v>
      </c>
      <c r="F94" s="13">
        <f t="shared" si="6"/>
        <v>-3.6466084631239237E-3</v>
      </c>
      <c r="G94" s="3">
        <v>3002.6</v>
      </c>
      <c r="J94">
        <v>125</v>
      </c>
      <c r="K94">
        <v>61</v>
      </c>
    </row>
    <row r="95" spans="1:11" x14ac:dyDescent="0.3">
      <c r="A95" s="47" t="s">
        <v>296</v>
      </c>
      <c r="B95" s="12"/>
      <c r="C95" t="s">
        <v>650</v>
      </c>
      <c r="D95" t="s">
        <v>675</v>
      </c>
      <c r="E95" s="7">
        <v>8343.6299999999992</v>
      </c>
      <c r="F95" s="13">
        <f t="shared" si="6"/>
        <v>7.6553011099485313E-2</v>
      </c>
      <c r="G95" s="3">
        <v>3669</v>
      </c>
      <c r="J95">
        <v>125</v>
      </c>
      <c r="K95">
        <v>61</v>
      </c>
    </row>
    <row r="96" spans="1:11" x14ac:dyDescent="0.3">
      <c r="A96" s="47" t="s">
        <v>296</v>
      </c>
      <c r="B96" s="12"/>
      <c r="C96" t="s">
        <v>720</v>
      </c>
      <c r="D96" t="s">
        <v>696</v>
      </c>
      <c r="E96" s="6">
        <v>5720</v>
      </c>
      <c r="F96" s="13">
        <f t="shared" si="6"/>
        <v>-5.0000000000000044E-2</v>
      </c>
      <c r="G96" s="3">
        <f>E96/2</f>
        <v>2860</v>
      </c>
      <c r="J96">
        <v>125</v>
      </c>
      <c r="K96">
        <v>61</v>
      </c>
    </row>
    <row r="97" spans="1:11" x14ac:dyDescent="0.3">
      <c r="A97" s="47" t="s">
        <v>296</v>
      </c>
      <c r="B97" s="12"/>
      <c r="C97" t="s">
        <v>728</v>
      </c>
      <c r="D97" t="s">
        <v>703</v>
      </c>
      <c r="E97" s="7">
        <v>6850.0999999999995</v>
      </c>
      <c r="F97" s="13">
        <f t="shared" si="6"/>
        <v>-1.2102013109298593E-3</v>
      </c>
      <c r="G97" s="5">
        <v>3265.9</v>
      </c>
      <c r="J97">
        <v>125</v>
      </c>
      <c r="K97">
        <v>61</v>
      </c>
    </row>
    <row r="98" spans="1:11" x14ac:dyDescent="0.3">
      <c r="A98" s="47" t="s">
        <v>296</v>
      </c>
      <c r="B98" s="12"/>
      <c r="C98" t="s">
        <v>736</v>
      </c>
      <c r="D98" t="s">
        <v>712</v>
      </c>
      <c r="E98" s="7">
        <v>7863.35</v>
      </c>
      <c r="F98" s="13">
        <f t="shared" si="6"/>
        <v>5.1129607609988081E-2</v>
      </c>
      <c r="G98" s="5">
        <v>3553</v>
      </c>
      <c r="J98">
        <v>125</v>
      </c>
      <c r="K98">
        <v>61</v>
      </c>
    </row>
    <row r="99" spans="1:11" x14ac:dyDescent="0.3">
      <c r="A99" s="47" t="s">
        <v>296</v>
      </c>
      <c r="B99" s="12"/>
      <c r="C99" t="s">
        <v>636</v>
      </c>
      <c r="D99" t="s">
        <v>660</v>
      </c>
      <c r="E99" s="6">
        <v>5760</v>
      </c>
      <c r="F99" s="4">
        <f t="shared" si="6"/>
        <v>-5.0000000000000044E-2</v>
      </c>
      <c r="G99" s="3">
        <f>E99/2</f>
        <v>2880</v>
      </c>
      <c r="J99">
        <v>125</v>
      </c>
      <c r="K99">
        <v>70</v>
      </c>
    </row>
    <row r="100" spans="1:11" x14ac:dyDescent="0.3">
      <c r="A100" s="47" t="s">
        <v>296</v>
      </c>
      <c r="B100" s="12"/>
      <c r="C100" t="s">
        <v>645</v>
      </c>
      <c r="D100" t="s">
        <v>668</v>
      </c>
      <c r="E100" s="7">
        <v>6879.7000000000007</v>
      </c>
      <c r="F100" s="4">
        <f t="shared" si="6"/>
        <v>-1.7558905184817952E-3</v>
      </c>
      <c r="G100" s="3">
        <v>3281.7999999999997</v>
      </c>
      <c r="J100">
        <v>125</v>
      </c>
      <c r="K100">
        <v>70</v>
      </c>
    </row>
    <row r="101" spans="1:11" x14ac:dyDescent="0.3">
      <c r="A101" s="47" t="s">
        <v>296</v>
      </c>
      <c r="B101" s="12"/>
      <c r="C101" t="s">
        <v>651</v>
      </c>
      <c r="D101" t="s">
        <v>676</v>
      </c>
      <c r="E101" s="7">
        <v>9001.4</v>
      </c>
      <c r="F101" s="4">
        <f t="shared" si="6"/>
        <v>7.4323994045370823E-2</v>
      </c>
      <c r="G101" s="3">
        <v>3967.7999999999997</v>
      </c>
      <c r="J101">
        <v>125</v>
      </c>
      <c r="K101">
        <v>70</v>
      </c>
    </row>
    <row r="102" spans="1:11" x14ac:dyDescent="0.3">
      <c r="A102" s="47" t="s">
        <v>296</v>
      </c>
      <c r="B102" s="12"/>
      <c r="C102" t="s">
        <v>721</v>
      </c>
      <c r="D102" t="s">
        <v>697</v>
      </c>
      <c r="E102" s="6">
        <v>6640</v>
      </c>
      <c r="F102" s="4">
        <f t="shared" si="6"/>
        <v>-5.0000000000000044E-2</v>
      </c>
      <c r="G102" s="3">
        <f>E102/2</f>
        <v>3320</v>
      </c>
      <c r="J102">
        <v>125</v>
      </c>
      <c r="K102">
        <v>70</v>
      </c>
    </row>
    <row r="103" spans="1:11" x14ac:dyDescent="0.3">
      <c r="A103" s="47" t="s">
        <v>296</v>
      </c>
      <c r="B103" s="12"/>
      <c r="C103" t="s">
        <v>729</v>
      </c>
      <c r="D103" t="s">
        <v>704</v>
      </c>
      <c r="E103" s="7">
        <v>7918.6</v>
      </c>
      <c r="F103" s="4">
        <f t="shared" ref="F103:F134" si="7">1-G103*2.1/E103</f>
        <v>-2.2377693026545131E-3</v>
      </c>
      <c r="G103" s="5">
        <v>3779.2</v>
      </c>
      <c r="J103">
        <v>125</v>
      </c>
      <c r="K103">
        <v>70</v>
      </c>
    </row>
    <row r="104" spans="1:11" x14ac:dyDescent="0.3">
      <c r="A104" s="47" t="s">
        <v>296</v>
      </c>
      <c r="B104" s="12"/>
      <c r="C104" t="s">
        <v>737</v>
      </c>
      <c r="D104" t="s">
        <v>713</v>
      </c>
      <c r="E104" s="7">
        <v>9064.7999999999993</v>
      </c>
      <c r="F104" s="4">
        <f t="shared" si="7"/>
        <v>4.9245432883240681E-2</v>
      </c>
      <c r="G104" s="5">
        <v>4104</v>
      </c>
      <c r="J104">
        <v>125</v>
      </c>
      <c r="K104">
        <v>70</v>
      </c>
    </row>
    <row r="105" spans="1:11" x14ac:dyDescent="0.3">
      <c r="A105" s="47" t="s">
        <v>296</v>
      </c>
      <c r="B105" s="12"/>
      <c r="C105" t="s">
        <v>637</v>
      </c>
      <c r="D105" t="s">
        <v>661</v>
      </c>
      <c r="E105" s="6">
        <v>7280</v>
      </c>
      <c r="F105" s="4">
        <f t="shared" si="7"/>
        <v>-5.0000000000000044E-2</v>
      </c>
      <c r="G105" s="3">
        <f>E105/2</f>
        <v>3640</v>
      </c>
      <c r="J105">
        <v>125</v>
      </c>
      <c r="K105">
        <v>101</v>
      </c>
    </row>
    <row r="106" spans="1:11" x14ac:dyDescent="0.3">
      <c r="A106" s="47" t="s">
        <v>296</v>
      </c>
      <c r="B106" s="12"/>
      <c r="C106" t="s">
        <v>646</v>
      </c>
      <c r="D106" t="s">
        <v>669</v>
      </c>
      <c r="E106" s="7">
        <v>8685.2999999999993</v>
      </c>
      <c r="F106" s="4">
        <f t="shared" si="7"/>
        <v>-2.0413802632035516E-3</v>
      </c>
      <c r="G106" s="3">
        <v>4144.3</v>
      </c>
      <c r="J106">
        <v>125</v>
      </c>
      <c r="K106">
        <v>101</v>
      </c>
    </row>
    <row r="107" spans="1:11" x14ac:dyDescent="0.3">
      <c r="A107" s="47" t="s">
        <v>296</v>
      </c>
      <c r="B107" s="12"/>
      <c r="C107" t="s">
        <v>652</v>
      </c>
      <c r="D107" t="s">
        <v>677</v>
      </c>
      <c r="E107" s="7">
        <v>11348.25</v>
      </c>
      <c r="F107" s="4">
        <f t="shared" si="7"/>
        <v>7.3766439759434199E-2</v>
      </c>
      <c r="G107" s="3">
        <v>5005.3</v>
      </c>
      <c r="H107" s="12"/>
      <c r="J107">
        <v>125</v>
      </c>
      <c r="K107">
        <v>101</v>
      </c>
    </row>
    <row r="108" spans="1:11" x14ac:dyDescent="0.3">
      <c r="A108" s="47" t="s">
        <v>296</v>
      </c>
      <c r="B108" s="12"/>
      <c r="C108" t="s">
        <v>722</v>
      </c>
      <c r="D108" t="s">
        <v>698</v>
      </c>
      <c r="E108" s="6">
        <v>7940</v>
      </c>
      <c r="F108" s="4">
        <f t="shared" si="7"/>
        <v>-5.0000000000000044E-2</v>
      </c>
      <c r="G108" s="3">
        <f>E108/2</f>
        <v>3970</v>
      </c>
      <c r="H108" s="12"/>
      <c r="J108">
        <v>125</v>
      </c>
      <c r="K108">
        <v>101</v>
      </c>
    </row>
    <row r="109" spans="1:11" x14ac:dyDescent="0.3">
      <c r="A109" s="47" t="s">
        <v>296</v>
      </c>
      <c r="B109" s="12"/>
      <c r="C109" t="s">
        <v>730</v>
      </c>
      <c r="D109" t="s">
        <v>705</v>
      </c>
      <c r="E109" s="7">
        <v>9572.2999999999993</v>
      </c>
      <c r="F109" s="4">
        <f t="shared" si="7"/>
        <v>4.2518516970824205E-4</v>
      </c>
      <c r="G109" s="5">
        <v>4556.3</v>
      </c>
      <c r="H109" s="12"/>
      <c r="J109">
        <v>125</v>
      </c>
      <c r="K109">
        <v>101</v>
      </c>
    </row>
    <row r="110" spans="1:11" x14ac:dyDescent="0.3">
      <c r="A110" s="47" t="s">
        <v>296</v>
      </c>
      <c r="B110" s="12"/>
      <c r="C110" t="s">
        <v>738</v>
      </c>
      <c r="D110" t="s">
        <v>714</v>
      </c>
      <c r="E110" s="7">
        <v>11035.95</v>
      </c>
      <c r="F110" s="4">
        <f t="shared" si="7"/>
        <v>5.4082339988854589E-2</v>
      </c>
      <c r="G110" s="5">
        <v>4971</v>
      </c>
      <c r="H110" s="12"/>
      <c r="J110">
        <v>125</v>
      </c>
      <c r="K110">
        <v>101</v>
      </c>
    </row>
    <row r="111" spans="1:11" x14ac:dyDescent="0.3">
      <c r="A111" s="47" t="s">
        <v>296</v>
      </c>
      <c r="B111" s="12"/>
      <c r="C111" t="s">
        <v>640</v>
      </c>
      <c r="D111" t="s">
        <v>662</v>
      </c>
      <c r="E111" s="6">
        <v>8940</v>
      </c>
      <c r="F111" s="4">
        <f t="shared" si="7"/>
        <v>-5.0000000000000044E-2</v>
      </c>
      <c r="G111" s="3">
        <f>E111/2</f>
        <v>4470</v>
      </c>
      <c r="H111" s="12"/>
      <c r="J111">
        <v>150</v>
      </c>
      <c r="K111">
        <v>125</v>
      </c>
    </row>
    <row r="112" spans="1:11" x14ac:dyDescent="0.3">
      <c r="A112" s="47" t="s">
        <v>296</v>
      </c>
      <c r="B112" s="12"/>
      <c r="C112" t="s">
        <v>642</v>
      </c>
      <c r="D112" t="s">
        <v>670</v>
      </c>
      <c r="E112" s="7">
        <v>10688.1</v>
      </c>
      <c r="F112" s="4">
        <f t="shared" si="7"/>
        <v>-1.5185112414739521E-3</v>
      </c>
      <c r="G112" s="3">
        <v>5097.2999999999993</v>
      </c>
      <c r="H112" s="12"/>
      <c r="J112">
        <v>150</v>
      </c>
      <c r="K112">
        <v>125</v>
      </c>
    </row>
    <row r="113" spans="1:11" x14ac:dyDescent="0.3">
      <c r="A113" s="47" t="s">
        <v>296</v>
      </c>
      <c r="B113" s="12"/>
      <c r="C113" t="s">
        <v>656</v>
      </c>
      <c r="D113" t="s">
        <v>678</v>
      </c>
      <c r="E113" s="7">
        <v>14000.550000000001</v>
      </c>
      <c r="F113" s="4">
        <f t="shared" si="7"/>
        <v>7.4791347482777604E-2</v>
      </c>
      <c r="G113" s="3">
        <v>6168.2999999999993</v>
      </c>
      <c r="H113" s="12"/>
      <c r="J113">
        <v>150</v>
      </c>
      <c r="K113">
        <v>125</v>
      </c>
    </row>
    <row r="114" spans="1:11" x14ac:dyDescent="0.3">
      <c r="A114" s="47" t="s">
        <v>296</v>
      </c>
      <c r="B114" s="12"/>
      <c r="C114" t="s">
        <v>723</v>
      </c>
      <c r="D114" t="s">
        <v>699</v>
      </c>
      <c r="E114" s="6">
        <v>10140</v>
      </c>
      <c r="F114" s="4">
        <f t="shared" si="7"/>
        <v>-5.0000000000000044E-2</v>
      </c>
      <c r="G114" s="3">
        <f>E114/2</f>
        <v>5070</v>
      </c>
      <c r="H114" s="12"/>
      <c r="J114">
        <v>150</v>
      </c>
      <c r="K114">
        <v>125</v>
      </c>
    </row>
    <row r="115" spans="1:11" x14ac:dyDescent="0.3">
      <c r="A115" s="47" t="s">
        <v>296</v>
      </c>
      <c r="B115" s="12"/>
      <c r="C115" t="s">
        <v>731</v>
      </c>
      <c r="D115" t="s">
        <v>706</v>
      </c>
      <c r="E115" s="7">
        <v>12171.85</v>
      </c>
      <c r="F115" s="4">
        <f t="shared" si="7"/>
        <v>-6.3507190772127409E-4</v>
      </c>
      <c r="G115" s="5">
        <v>5799.7999999999993</v>
      </c>
      <c r="H115" s="12"/>
      <c r="J115">
        <v>150</v>
      </c>
      <c r="K115">
        <v>125</v>
      </c>
    </row>
    <row r="116" spans="1:11" x14ac:dyDescent="0.3">
      <c r="A116" s="47" t="s">
        <v>296</v>
      </c>
      <c r="B116" s="12"/>
      <c r="C116" t="s">
        <v>739</v>
      </c>
      <c r="D116" t="s">
        <v>715</v>
      </c>
      <c r="E116" s="7">
        <v>13993.7</v>
      </c>
      <c r="F116" s="4">
        <f t="shared" si="7"/>
        <v>5.2173478065129286E-2</v>
      </c>
      <c r="G116" s="5">
        <v>6316</v>
      </c>
      <c r="H116" s="12"/>
      <c r="J116">
        <v>150</v>
      </c>
      <c r="K116">
        <v>125</v>
      </c>
    </row>
    <row r="117" spans="1:11" x14ac:dyDescent="0.3">
      <c r="A117" s="47" t="s">
        <v>296</v>
      </c>
      <c r="B117" s="12"/>
      <c r="C117" t="s">
        <v>638</v>
      </c>
      <c r="D117" t="s">
        <v>663</v>
      </c>
      <c r="E117" s="6">
        <v>10080</v>
      </c>
      <c r="F117" s="13">
        <f t="shared" si="7"/>
        <v>-5.0000000000000044E-2</v>
      </c>
      <c r="G117" s="3">
        <f>E117/2</f>
        <v>5040</v>
      </c>
      <c r="H117" s="12"/>
      <c r="J117">
        <v>150</v>
      </c>
      <c r="K117">
        <v>152</v>
      </c>
    </row>
    <row r="118" spans="1:11" x14ac:dyDescent="0.3">
      <c r="A118" s="47" t="s">
        <v>296</v>
      </c>
      <c r="B118" s="12"/>
      <c r="C118" t="s">
        <v>647</v>
      </c>
      <c r="D118" t="s">
        <v>671</v>
      </c>
      <c r="E118" s="7">
        <v>12193.6</v>
      </c>
      <c r="F118" s="4">
        <f t="shared" si="7"/>
        <v>1.3736714341949785E-3</v>
      </c>
      <c r="G118" s="3">
        <v>5798.5</v>
      </c>
      <c r="H118" s="12"/>
      <c r="J118">
        <v>150</v>
      </c>
      <c r="K118">
        <v>152</v>
      </c>
    </row>
    <row r="119" spans="1:11" x14ac:dyDescent="0.3">
      <c r="A119" s="47" t="s">
        <v>296</v>
      </c>
      <c r="B119" s="12"/>
      <c r="C119" t="s">
        <v>653</v>
      </c>
      <c r="D119" t="s">
        <v>679</v>
      </c>
      <c r="E119" s="7">
        <v>16198.850000000002</v>
      </c>
      <c r="F119" s="13">
        <f t="shared" si="7"/>
        <v>8.0406942468138287E-2</v>
      </c>
      <c r="G119" s="3">
        <v>7093.5</v>
      </c>
      <c r="H119" s="12"/>
      <c r="J119">
        <v>150</v>
      </c>
      <c r="K119">
        <v>152</v>
      </c>
    </row>
    <row r="120" spans="1:11" x14ac:dyDescent="0.3">
      <c r="A120" s="47" t="s">
        <v>296</v>
      </c>
      <c r="B120" s="12"/>
      <c r="C120" t="s">
        <v>724</v>
      </c>
      <c r="D120" t="s">
        <v>709</v>
      </c>
      <c r="E120" s="6">
        <v>11800</v>
      </c>
      <c r="F120" s="4">
        <f t="shared" si="7"/>
        <v>-5.0000000000000044E-2</v>
      </c>
      <c r="G120" s="3">
        <f>E120/2</f>
        <v>5900</v>
      </c>
      <c r="H120" s="12"/>
      <c r="J120">
        <v>150</v>
      </c>
      <c r="K120">
        <v>152</v>
      </c>
    </row>
    <row r="121" spans="1:11" x14ac:dyDescent="0.3">
      <c r="A121" s="47" t="s">
        <v>296</v>
      </c>
      <c r="B121" s="12"/>
      <c r="C121" t="s">
        <v>732</v>
      </c>
      <c r="D121" t="s">
        <v>708</v>
      </c>
      <c r="E121" s="7">
        <v>14276.8</v>
      </c>
      <c r="F121" s="4">
        <f t="shared" si="7"/>
        <v>1.2909055250475143E-3</v>
      </c>
      <c r="G121" s="5">
        <v>6789.7</v>
      </c>
      <c r="H121" s="12"/>
      <c r="J121">
        <v>150</v>
      </c>
      <c r="K121">
        <v>152</v>
      </c>
    </row>
    <row r="122" spans="1:11" x14ac:dyDescent="0.3">
      <c r="A122" s="47" t="s">
        <v>296</v>
      </c>
      <c r="B122" s="12"/>
      <c r="C122" t="s">
        <v>740</v>
      </c>
      <c r="D122" t="s">
        <v>716</v>
      </c>
      <c r="E122" s="7">
        <v>16498.05</v>
      </c>
      <c r="F122" s="13">
        <f t="shared" si="7"/>
        <v>5.5652031603734886E-2</v>
      </c>
      <c r="G122" s="5">
        <v>7419</v>
      </c>
      <c r="J122">
        <v>150</v>
      </c>
      <c r="K122">
        <v>152</v>
      </c>
    </row>
    <row r="123" spans="1:11" x14ac:dyDescent="0.3">
      <c r="A123" s="47" t="s">
        <v>296</v>
      </c>
      <c r="B123" s="12"/>
      <c r="C123" t="s">
        <v>639</v>
      </c>
      <c r="D123" t="s">
        <v>664</v>
      </c>
      <c r="E123" s="6">
        <v>12680</v>
      </c>
      <c r="F123" s="13">
        <f t="shared" si="7"/>
        <v>-5.0000000000000044E-2</v>
      </c>
      <c r="G123" s="3">
        <f>E123/2</f>
        <v>6340</v>
      </c>
      <c r="J123">
        <v>150</v>
      </c>
      <c r="K123">
        <v>180</v>
      </c>
    </row>
    <row r="124" spans="1:11" x14ac:dyDescent="0.3">
      <c r="A124" s="47" t="s">
        <v>296</v>
      </c>
      <c r="B124" s="12"/>
      <c r="C124" t="s">
        <v>648</v>
      </c>
      <c r="D124" t="s">
        <v>672</v>
      </c>
      <c r="E124" s="7">
        <v>15181.800000000001</v>
      </c>
      <c r="F124" s="13">
        <f t="shared" si="7"/>
        <v>-1.1717978105363347E-3</v>
      </c>
      <c r="G124" s="3">
        <v>7237.9</v>
      </c>
      <c r="J124">
        <v>150</v>
      </c>
      <c r="K124">
        <v>180</v>
      </c>
    </row>
    <row r="125" spans="1:11" x14ac:dyDescent="0.3">
      <c r="A125" s="47" t="s">
        <v>296</v>
      </c>
      <c r="B125" s="12"/>
      <c r="C125" t="s">
        <v>654</v>
      </c>
      <c r="D125" t="s">
        <v>680</v>
      </c>
      <c r="E125" s="7">
        <v>19923.150000000001</v>
      </c>
      <c r="F125" s="13">
        <f t="shared" si="7"/>
        <v>7.5503120741449159E-2</v>
      </c>
      <c r="G125" s="3">
        <v>8770.9</v>
      </c>
      <c r="J125">
        <v>150</v>
      </c>
      <c r="K125">
        <v>180</v>
      </c>
    </row>
    <row r="126" spans="1:11" x14ac:dyDescent="0.3">
      <c r="A126" s="47" t="s">
        <v>296</v>
      </c>
      <c r="B126" s="12"/>
      <c r="C126" t="s">
        <v>725</v>
      </c>
      <c r="D126" t="s">
        <v>700</v>
      </c>
      <c r="E126" s="6">
        <v>14180</v>
      </c>
      <c r="F126" s="13">
        <f t="shared" si="7"/>
        <v>-5.0000000000000044E-2</v>
      </c>
      <c r="G126" s="3">
        <f>E126/2</f>
        <v>7090</v>
      </c>
      <c r="J126">
        <v>150</v>
      </c>
      <c r="K126">
        <v>180</v>
      </c>
    </row>
    <row r="127" spans="1:11" x14ac:dyDescent="0.3">
      <c r="A127" s="47" t="s">
        <v>296</v>
      </c>
      <c r="B127" s="12"/>
      <c r="C127" t="s">
        <v>733</v>
      </c>
      <c r="D127" t="s">
        <v>707</v>
      </c>
      <c r="E127" s="7">
        <v>17101.75</v>
      </c>
      <c r="F127" s="13">
        <f t="shared" si="7"/>
        <v>5.0228777756666787E-4</v>
      </c>
      <c r="G127" s="5">
        <v>8139.5999999999995</v>
      </c>
      <c r="J127">
        <v>150</v>
      </c>
      <c r="K127">
        <v>180</v>
      </c>
    </row>
    <row r="128" spans="1:11" x14ac:dyDescent="0.3">
      <c r="A128" s="47" t="s">
        <v>296</v>
      </c>
      <c r="B128" s="12"/>
      <c r="C128" t="s">
        <v>741</v>
      </c>
      <c r="D128" t="s">
        <v>717</v>
      </c>
      <c r="E128" s="7">
        <v>19722.399999999998</v>
      </c>
      <c r="F128" s="13">
        <f t="shared" si="7"/>
        <v>5.426317283900528E-2</v>
      </c>
      <c r="G128" s="5">
        <v>8882</v>
      </c>
      <c r="J128">
        <v>150</v>
      </c>
      <c r="K128">
        <v>180</v>
      </c>
    </row>
    <row r="129" spans="1:18" x14ac:dyDescent="0.3">
      <c r="A129" s="47" t="s">
        <v>296</v>
      </c>
      <c r="B129" s="12"/>
      <c r="C129" t="s">
        <v>373</v>
      </c>
      <c r="D129" t="s">
        <v>374</v>
      </c>
      <c r="E129" s="6">
        <v>300</v>
      </c>
      <c r="F129" s="13">
        <f t="shared" si="7"/>
        <v>-0.18132000000000015</v>
      </c>
      <c r="G129" s="3">
        <v>168.76</v>
      </c>
    </row>
    <row r="130" spans="1:18" x14ac:dyDescent="0.3">
      <c r="A130" s="47" t="s">
        <v>296</v>
      </c>
      <c r="B130" s="12"/>
      <c r="C130" t="s">
        <v>371</v>
      </c>
      <c r="D130" t="s">
        <v>372</v>
      </c>
      <c r="E130" s="6">
        <v>165</v>
      </c>
      <c r="F130" s="4">
        <f t="shared" si="7"/>
        <v>-4.9454545454545862E-3</v>
      </c>
      <c r="G130" s="3">
        <v>78.959999999999994</v>
      </c>
    </row>
    <row r="131" spans="1:18" x14ac:dyDescent="0.3">
      <c r="A131" s="47" t="s">
        <v>296</v>
      </c>
      <c r="B131" s="12"/>
      <c r="C131" t="s">
        <v>375</v>
      </c>
      <c r="D131" t="s">
        <v>376</v>
      </c>
      <c r="E131" s="6">
        <f>595*2.1/0.85</f>
        <v>1470</v>
      </c>
      <c r="F131" s="4">
        <f t="shared" si="7"/>
        <v>0.125</v>
      </c>
      <c r="G131" s="3">
        <v>612.5</v>
      </c>
      <c r="K131">
        <v>45</v>
      </c>
    </row>
    <row r="132" spans="1:18" x14ac:dyDescent="0.3">
      <c r="A132" s="47" t="s">
        <v>296</v>
      </c>
      <c r="B132" s="12"/>
      <c r="C132" t="s">
        <v>297</v>
      </c>
      <c r="D132" t="s">
        <v>298</v>
      </c>
      <c r="E132" s="6">
        <v>435</v>
      </c>
      <c r="F132" s="4">
        <f t="shared" si="7"/>
        <v>0.31448275862068964</v>
      </c>
      <c r="G132" s="3">
        <v>142</v>
      </c>
      <c r="J132" t="s">
        <v>299</v>
      </c>
      <c r="K132">
        <v>4</v>
      </c>
      <c r="R132">
        <v>7</v>
      </c>
    </row>
    <row r="133" spans="1:18" x14ac:dyDescent="0.3">
      <c r="A133" s="47" t="s">
        <v>296</v>
      </c>
      <c r="B133" s="12"/>
      <c r="C133" t="s">
        <v>320</v>
      </c>
      <c r="D133" t="s">
        <v>321</v>
      </c>
      <c r="E133" s="7">
        <v>557.04999999999995</v>
      </c>
      <c r="F133" s="4">
        <f t="shared" si="7"/>
        <v>0.26598958800825778</v>
      </c>
      <c r="G133" s="5">
        <v>194.70499999999998</v>
      </c>
      <c r="J133" t="s">
        <v>299</v>
      </c>
      <c r="K133">
        <v>4</v>
      </c>
      <c r="R133">
        <f>+R128+R193+R194</f>
        <v>12</v>
      </c>
    </row>
    <row r="134" spans="1:18" x14ac:dyDescent="0.3">
      <c r="A134" s="47" t="s">
        <v>296</v>
      </c>
      <c r="B134" s="12"/>
      <c r="C134" t="s">
        <v>330</v>
      </c>
      <c r="D134" t="s">
        <v>331</v>
      </c>
      <c r="E134" s="6">
        <v>577.19999999999993</v>
      </c>
      <c r="F134" s="4">
        <f t="shared" si="7"/>
        <v>0.27051195426195418</v>
      </c>
      <c r="G134" s="3">
        <v>200.505</v>
      </c>
      <c r="J134" t="s">
        <v>299</v>
      </c>
      <c r="K134">
        <v>4</v>
      </c>
      <c r="R134">
        <f>+R124+R192+R193</f>
        <v>20</v>
      </c>
    </row>
    <row r="135" spans="1:18" x14ac:dyDescent="0.3">
      <c r="A135" s="47" t="s">
        <v>296</v>
      </c>
      <c r="B135" s="12"/>
      <c r="C135" t="s">
        <v>310</v>
      </c>
      <c r="D135" t="s">
        <v>311</v>
      </c>
      <c r="E135" s="6">
        <v>533.9</v>
      </c>
      <c r="F135" s="4">
        <f t="shared" ref="F135:F166" si="8">1-G135*2.1/E135</f>
        <v>0.26641599550477613</v>
      </c>
      <c r="G135" s="3">
        <v>186.505</v>
      </c>
      <c r="J135" t="s">
        <v>299</v>
      </c>
      <c r="K135">
        <v>4</v>
      </c>
      <c r="R135">
        <f>+R130+R196</f>
        <v>15</v>
      </c>
    </row>
    <row r="136" spans="1:18" x14ac:dyDescent="0.3">
      <c r="A136" s="47" t="s">
        <v>296</v>
      </c>
      <c r="B136" s="12"/>
      <c r="C136" t="s">
        <v>300</v>
      </c>
      <c r="D136" t="s">
        <v>301</v>
      </c>
      <c r="E136" s="6">
        <v>521</v>
      </c>
      <c r="F136" s="4">
        <f t="shared" si="8"/>
        <v>0.31880998080614198</v>
      </c>
      <c r="G136" s="3">
        <v>169</v>
      </c>
      <c r="J136" t="s">
        <v>299</v>
      </c>
      <c r="K136">
        <v>6</v>
      </c>
      <c r="R136">
        <v>12</v>
      </c>
    </row>
    <row r="137" spans="1:18" x14ac:dyDescent="0.3">
      <c r="A137" s="47" t="s">
        <v>296</v>
      </c>
      <c r="B137" s="12"/>
      <c r="C137" t="s">
        <v>322</v>
      </c>
      <c r="D137" t="s">
        <v>323</v>
      </c>
      <c r="E137" s="6">
        <v>666.2</v>
      </c>
      <c r="F137" s="4">
        <f t="shared" si="8"/>
        <v>0.27529195436805776</v>
      </c>
      <c r="G137" s="3">
        <v>229.90499999999997</v>
      </c>
      <c r="J137" t="s">
        <v>299</v>
      </c>
      <c r="K137">
        <v>6</v>
      </c>
      <c r="R137">
        <f>+R132+2*R196+2*R197</f>
        <v>37</v>
      </c>
    </row>
    <row r="138" spans="1:18" x14ac:dyDescent="0.3">
      <c r="A138" s="47" t="s">
        <v>296</v>
      </c>
      <c r="B138" s="12"/>
      <c r="C138" t="s">
        <v>332</v>
      </c>
      <c r="D138" t="s">
        <v>333</v>
      </c>
      <c r="E138" s="6">
        <v>706.49999999999989</v>
      </c>
      <c r="F138" s="4">
        <f t="shared" si="8"/>
        <v>0.2821507430997876</v>
      </c>
      <c r="G138" s="3">
        <v>241.505</v>
      </c>
      <c r="J138" t="s">
        <v>299</v>
      </c>
      <c r="K138">
        <v>6</v>
      </c>
      <c r="R138">
        <f>+R128+2*R195+2*R196</f>
        <v>30</v>
      </c>
    </row>
    <row r="139" spans="1:18" x14ac:dyDescent="0.3">
      <c r="A139" s="47" t="s">
        <v>296</v>
      </c>
      <c r="B139" s="12"/>
      <c r="C139" t="s">
        <v>312</v>
      </c>
      <c r="D139" t="s">
        <v>313</v>
      </c>
      <c r="E139" s="6">
        <v>619.9</v>
      </c>
      <c r="F139" s="4">
        <f t="shared" si="8"/>
        <v>0.27672124536215514</v>
      </c>
      <c r="G139" s="3">
        <v>213.505</v>
      </c>
      <c r="J139" t="s">
        <v>299</v>
      </c>
      <c r="K139">
        <v>6</v>
      </c>
      <c r="R139">
        <f>+R134+R199</f>
        <v>20</v>
      </c>
    </row>
    <row r="140" spans="1:18" x14ac:dyDescent="0.3">
      <c r="A140" s="47" t="s">
        <v>296</v>
      </c>
      <c r="B140" s="12"/>
      <c r="C140" t="s">
        <v>302</v>
      </c>
      <c r="D140" t="s">
        <v>303</v>
      </c>
      <c r="E140" s="6">
        <v>623</v>
      </c>
      <c r="F140" s="4">
        <f t="shared" si="8"/>
        <v>0.15999999999999992</v>
      </c>
      <c r="G140" s="3">
        <v>249.2</v>
      </c>
      <c r="J140" t="s">
        <v>299</v>
      </c>
      <c r="K140">
        <v>8</v>
      </c>
      <c r="R140">
        <v>14</v>
      </c>
    </row>
    <row r="141" spans="1:18" x14ac:dyDescent="0.3">
      <c r="A141" s="47" t="s">
        <v>296</v>
      </c>
      <c r="B141" s="12"/>
      <c r="C141" t="s">
        <v>324</v>
      </c>
      <c r="D141" t="s">
        <v>325</v>
      </c>
      <c r="E141" s="6">
        <v>791.9</v>
      </c>
      <c r="F141" s="4">
        <f t="shared" si="8"/>
        <v>0.15590289177926508</v>
      </c>
      <c r="G141" s="3">
        <v>318.30499999999995</v>
      </c>
      <c r="J141" t="s">
        <v>299</v>
      </c>
      <c r="K141">
        <v>8</v>
      </c>
      <c r="R141">
        <f>+R136+4*R199+2*R200</f>
        <v>12</v>
      </c>
    </row>
    <row r="142" spans="1:18" x14ac:dyDescent="0.3">
      <c r="A142" s="47" t="s">
        <v>296</v>
      </c>
      <c r="B142" s="12"/>
      <c r="C142" t="s">
        <v>334</v>
      </c>
      <c r="D142" t="s">
        <v>335</v>
      </c>
      <c r="E142" s="6">
        <v>851.8</v>
      </c>
      <c r="F142" s="4">
        <f t="shared" si="8"/>
        <v>0.17236381779760501</v>
      </c>
      <c r="G142" s="3">
        <v>335.70499999999998</v>
      </c>
      <c r="J142" t="s">
        <v>299</v>
      </c>
      <c r="K142">
        <v>8</v>
      </c>
      <c r="R142" t="e">
        <f>+#REF!+4*R198+2*R199</f>
        <v>#REF!</v>
      </c>
    </row>
    <row r="143" spans="1:18" x14ac:dyDescent="0.3">
      <c r="A143" s="47" t="s">
        <v>296</v>
      </c>
      <c r="B143" s="12"/>
      <c r="C143" t="s">
        <v>314</v>
      </c>
      <c r="D143" t="s">
        <v>315</v>
      </c>
      <c r="E143" s="6">
        <v>721.9</v>
      </c>
      <c r="F143" s="4">
        <f t="shared" si="8"/>
        <v>0.14561504363485245</v>
      </c>
      <c r="G143" s="3">
        <v>293.70499999999998</v>
      </c>
      <c r="J143" t="s">
        <v>299</v>
      </c>
      <c r="K143">
        <v>8</v>
      </c>
      <c r="R143">
        <f>+R138+R202</f>
        <v>30</v>
      </c>
    </row>
    <row r="144" spans="1:18" x14ac:dyDescent="0.3">
      <c r="A144" s="47" t="s">
        <v>296</v>
      </c>
      <c r="B144" s="12"/>
      <c r="C144" t="s">
        <v>304</v>
      </c>
      <c r="D144" t="s">
        <v>305</v>
      </c>
      <c r="E144" s="6">
        <v>944</v>
      </c>
      <c r="F144" s="4">
        <f t="shared" si="8"/>
        <v>0.15999999999999992</v>
      </c>
      <c r="G144" s="3">
        <v>377.6</v>
      </c>
      <c r="J144" t="s">
        <v>306</v>
      </c>
      <c r="K144">
        <v>13</v>
      </c>
      <c r="R144">
        <v>24</v>
      </c>
    </row>
    <row r="145" spans="1:18" x14ac:dyDescent="0.3">
      <c r="A145" s="47" t="s">
        <v>296</v>
      </c>
      <c r="B145" s="12"/>
      <c r="C145" t="s">
        <v>326</v>
      </c>
      <c r="D145" t="s">
        <v>327</v>
      </c>
      <c r="E145" s="6">
        <v>1234.5</v>
      </c>
      <c r="F145" s="4">
        <f t="shared" si="8"/>
        <v>0.15876670716889429</v>
      </c>
      <c r="G145" s="3">
        <v>494.52500000000003</v>
      </c>
      <c r="J145" t="s">
        <v>306</v>
      </c>
      <c r="K145">
        <v>13</v>
      </c>
      <c r="R145">
        <f>+R140+8*R202+4*R203</f>
        <v>14</v>
      </c>
    </row>
    <row r="146" spans="1:18" x14ac:dyDescent="0.3">
      <c r="A146" s="47" t="s">
        <v>296</v>
      </c>
      <c r="B146" s="12"/>
      <c r="C146" t="s">
        <v>336</v>
      </c>
      <c r="D146" t="s">
        <v>337</v>
      </c>
      <c r="E146" s="6">
        <v>1354.3</v>
      </c>
      <c r="F146" s="4">
        <f t="shared" si="8"/>
        <v>0.17921989219522982</v>
      </c>
      <c r="G146" s="3">
        <v>529.32500000000005</v>
      </c>
      <c r="J146" t="s">
        <v>306</v>
      </c>
      <c r="K146">
        <v>13</v>
      </c>
      <c r="R146">
        <f>+R136+8*R201+4*R202</f>
        <v>12</v>
      </c>
    </row>
    <row r="147" spans="1:18" x14ac:dyDescent="0.3">
      <c r="A147" s="47" t="s">
        <v>296</v>
      </c>
      <c r="B147" s="12"/>
      <c r="C147" t="s">
        <v>316</v>
      </c>
      <c r="D147" t="s">
        <v>317</v>
      </c>
      <c r="E147" s="6">
        <v>1094.5</v>
      </c>
      <c r="F147" s="4">
        <f t="shared" si="8"/>
        <v>0.14556190041114658</v>
      </c>
      <c r="G147" s="3">
        <v>445.32500000000005</v>
      </c>
      <c r="H147" s="12"/>
      <c r="J147" t="s">
        <v>306</v>
      </c>
      <c r="K147">
        <v>13</v>
      </c>
      <c r="R147" t="e">
        <f>+R142+R206</f>
        <v>#REF!</v>
      </c>
    </row>
    <row r="148" spans="1:18" x14ac:dyDescent="0.3">
      <c r="A148" s="47" t="s">
        <v>296</v>
      </c>
      <c r="B148" s="12"/>
      <c r="C148" t="s">
        <v>307</v>
      </c>
      <c r="D148" t="s">
        <v>308</v>
      </c>
      <c r="E148" s="6">
        <v>1576</v>
      </c>
      <c r="F148" s="4">
        <f t="shared" si="8"/>
        <v>0.15999999999999992</v>
      </c>
      <c r="G148" s="5">
        <f>E148*0.4</f>
        <v>630.40000000000009</v>
      </c>
      <c r="H148" s="12"/>
      <c r="J148" t="s">
        <v>309</v>
      </c>
      <c r="K148">
        <v>19</v>
      </c>
      <c r="R148">
        <v>34</v>
      </c>
    </row>
    <row r="149" spans="1:18" x14ac:dyDescent="0.3">
      <c r="A149" s="47" t="s">
        <v>296</v>
      </c>
      <c r="B149" s="12"/>
      <c r="C149" t="s">
        <v>328</v>
      </c>
      <c r="D149" t="s">
        <v>329</v>
      </c>
      <c r="E149" s="6">
        <v>2238.4</v>
      </c>
      <c r="F149" s="4">
        <f t="shared" si="8"/>
        <v>0.15297310578984979</v>
      </c>
      <c r="G149" s="3">
        <v>902.85000000000014</v>
      </c>
      <c r="J149" t="s">
        <v>309</v>
      </c>
      <c r="K149">
        <v>19</v>
      </c>
      <c r="R149">
        <f>+R144+16*R205+6*R206</f>
        <v>24</v>
      </c>
    </row>
    <row r="150" spans="1:18" x14ac:dyDescent="0.3">
      <c r="A150" s="47" t="s">
        <v>296</v>
      </c>
      <c r="B150" s="12"/>
      <c r="C150" t="s">
        <v>338</v>
      </c>
      <c r="D150" t="s">
        <v>339</v>
      </c>
      <c r="E150" s="6">
        <v>2457.3000000000002</v>
      </c>
      <c r="F150" s="4">
        <f t="shared" si="8"/>
        <v>0.17390428519106327</v>
      </c>
      <c r="G150" s="3">
        <v>966.65000000000009</v>
      </c>
      <c r="J150" t="s">
        <v>309</v>
      </c>
      <c r="K150">
        <v>19</v>
      </c>
      <c r="R150">
        <f>+R140+16*R204+6*R205</f>
        <v>14</v>
      </c>
    </row>
    <row r="151" spans="1:18" x14ac:dyDescent="0.3">
      <c r="A151" s="47" t="s">
        <v>296</v>
      </c>
      <c r="B151" s="12"/>
      <c r="C151" t="s">
        <v>318</v>
      </c>
      <c r="D151" t="s">
        <v>319</v>
      </c>
      <c r="E151" s="7">
        <v>1981</v>
      </c>
      <c r="F151" s="4">
        <f t="shared" si="8"/>
        <v>0.13853356890459345</v>
      </c>
      <c r="G151" s="5">
        <v>812.65000000000009</v>
      </c>
      <c r="J151" t="s">
        <v>309</v>
      </c>
      <c r="K151">
        <v>19</v>
      </c>
      <c r="R151">
        <f>+R146+R210</f>
        <v>12</v>
      </c>
    </row>
    <row r="152" spans="1:18" x14ac:dyDescent="0.3">
      <c r="A152" s="47" t="s">
        <v>296</v>
      </c>
      <c r="B152" s="12"/>
      <c r="C152" t="s">
        <v>399</v>
      </c>
      <c r="D152" t="s">
        <v>400</v>
      </c>
      <c r="E152" s="3">
        <v>470</v>
      </c>
      <c r="F152" s="4">
        <f t="shared" si="8"/>
        <v>0.13663191489361703</v>
      </c>
      <c r="G152" s="3">
        <v>193.23</v>
      </c>
      <c r="K152">
        <v>15</v>
      </c>
    </row>
    <row r="153" spans="1:18" x14ac:dyDescent="0.3">
      <c r="A153" s="47" t="s">
        <v>296</v>
      </c>
      <c r="B153" s="12"/>
      <c r="C153" t="s">
        <v>401</v>
      </c>
      <c r="D153" t="s">
        <v>402</v>
      </c>
      <c r="E153" s="3">
        <v>500</v>
      </c>
      <c r="F153" s="4">
        <f t="shared" si="8"/>
        <v>9.7839999999999927E-2</v>
      </c>
      <c r="G153" s="3">
        <v>214.8</v>
      </c>
      <c r="K153">
        <v>15</v>
      </c>
    </row>
    <row r="154" spans="1:18" x14ac:dyDescent="0.3">
      <c r="A154" s="47" t="s">
        <v>296</v>
      </c>
      <c r="B154" s="12"/>
      <c r="C154" t="s">
        <v>414</v>
      </c>
      <c r="D154" t="s">
        <v>415</v>
      </c>
      <c r="E154" s="3">
        <v>295</v>
      </c>
      <c r="F154" s="4">
        <f t="shared" si="8"/>
        <v>0.63602372881355929</v>
      </c>
      <c r="G154" s="3">
        <v>51.13</v>
      </c>
    </row>
    <row r="155" spans="1:18" x14ac:dyDescent="0.3">
      <c r="A155" s="47" t="s">
        <v>777</v>
      </c>
      <c r="B155" s="12"/>
      <c r="C155" t="s">
        <v>411</v>
      </c>
      <c r="D155" t="s">
        <v>742</v>
      </c>
      <c r="E155" s="3">
        <v>5</v>
      </c>
      <c r="F155" s="4">
        <f t="shared" si="8"/>
        <v>0.77068000000000003</v>
      </c>
      <c r="G155" s="3">
        <v>0.54600000000000004</v>
      </c>
    </row>
    <row r="156" spans="1:18" x14ac:dyDescent="0.3">
      <c r="A156" s="47" t="s">
        <v>777</v>
      </c>
      <c r="B156" s="12"/>
      <c r="C156" t="s">
        <v>412</v>
      </c>
      <c r="D156" t="s">
        <v>413</v>
      </c>
      <c r="E156" s="3">
        <v>0.4</v>
      </c>
      <c r="F156" s="4">
        <f t="shared" si="8"/>
        <v>0.71875</v>
      </c>
      <c r="G156" s="3">
        <f>375/7000</f>
        <v>5.3571428571428568E-2</v>
      </c>
    </row>
    <row r="157" spans="1:18" x14ac:dyDescent="0.3">
      <c r="A157" s="47" t="s">
        <v>777</v>
      </c>
      <c r="B157" s="12"/>
      <c r="C157" t="s">
        <v>409</v>
      </c>
      <c r="D157" t="s">
        <v>410</v>
      </c>
      <c r="E157" s="3">
        <v>6.5</v>
      </c>
      <c r="F157" s="4">
        <f t="shared" si="8"/>
        <v>0.35384615384615381</v>
      </c>
      <c r="G157" s="3">
        <v>2</v>
      </c>
    </row>
    <row r="158" spans="1:18" x14ac:dyDescent="0.3">
      <c r="A158" s="47" t="s">
        <v>777</v>
      </c>
      <c r="B158" s="12"/>
      <c r="C158" t="s">
        <v>403</v>
      </c>
      <c r="D158" t="s">
        <v>404</v>
      </c>
      <c r="E158" s="3">
        <v>10</v>
      </c>
      <c r="F158" s="4">
        <f t="shared" si="8"/>
        <v>0.22089999999999999</v>
      </c>
      <c r="G158" s="3">
        <v>3.71</v>
      </c>
    </row>
    <row r="159" spans="1:18" x14ac:dyDescent="0.3">
      <c r="A159" s="47" t="s">
        <v>777</v>
      </c>
      <c r="B159" s="12"/>
      <c r="C159" t="s">
        <v>405</v>
      </c>
      <c r="D159" t="s">
        <v>406</v>
      </c>
      <c r="E159" s="3">
        <v>10</v>
      </c>
      <c r="F159" s="4">
        <f t="shared" si="8"/>
        <v>0.22299999999999998</v>
      </c>
      <c r="G159" s="3">
        <v>3.7</v>
      </c>
    </row>
    <row r="160" spans="1:18" x14ac:dyDescent="0.3">
      <c r="A160" s="47" t="s">
        <v>777</v>
      </c>
      <c r="B160" s="12"/>
      <c r="C160" t="s">
        <v>407</v>
      </c>
      <c r="D160" t="s">
        <v>408</v>
      </c>
      <c r="E160" s="3">
        <v>10</v>
      </c>
      <c r="F160" s="4">
        <f t="shared" si="8"/>
        <v>0.22299999999999998</v>
      </c>
      <c r="G160" s="3">
        <v>3.7</v>
      </c>
      <c r="H160" s="40"/>
      <c r="N160" s="40"/>
      <c r="O160" s="40"/>
      <c r="P160" s="40"/>
      <c r="Q160" s="40"/>
    </row>
    <row r="161" spans="1:18" x14ac:dyDescent="0.3">
      <c r="A161" s="47" t="s">
        <v>777</v>
      </c>
      <c r="B161" s="12"/>
      <c r="C161" t="s">
        <v>387</v>
      </c>
      <c r="D161" t="s">
        <v>388</v>
      </c>
      <c r="E161" s="6">
        <v>11.85</v>
      </c>
      <c r="F161" s="4">
        <f t="shared" si="8"/>
        <v>0.27341772151898736</v>
      </c>
      <c r="G161" s="3">
        <v>4.0999999999999996</v>
      </c>
      <c r="H161" s="40"/>
      <c r="N161" s="40"/>
      <c r="O161" s="40"/>
      <c r="P161" s="40"/>
      <c r="Q161" s="40"/>
      <c r="R161">
        <v>25</v>
      </c>
    </row>
    <row r="162" spans="1:18" x14ac:dyDescent="0.3">
      <c r="A162" s="47" t="s">
        <v>777</v>
      </c>
      <c r="B162" s="12"/>
      <c r="C162" t="s">
        <v>389</v>
      </c>
      <c r="D162" t="s">
        <v>390</v>
      </c>
      <c r="E162" s="6">
        <v>11.3</v>
      </c>
      <c r="F162" s="4">
        <f t="shared" si="8"/>
        <v>0.2380530973451328</v>
      </c>
      <c r="G162" s="3">
        <v>4.0999999999999996</v>
      </c>
      <c r="H162" s="40"/>
      <c r="N162" s="40"/>
      <c r="O162" s="40"/>
      <c r="P162" s="40"/>
      <c r="Q162" s="40"/>
      <c r="R162">
        <v>25</v>
      </c>
    </row>
    <row r="163" spans="1:18" x14ac:dyDescent="0.3">
      <c r="A163" s="47" t="s">
        <v>777</v>
      </c>
      <c r="B163" s="12"/>
      <c r="C163" t="s">
        <v>391</v>
      </c>
      <c r="D163" t="s">
        <v>392</v>
      </c>
      <c r="E163" s="6">
        <v>11.35</v>
      </c>
      <c r="F163" s="4">
        <f t="shared" si="8"/>
        <v>0.24140969162995596</v>
      </c>
      <c r="G163" s="3">
        <v>4.0999999999999996</v>
      </c>
      <c r="H163" s="40"/>
      <c r="N163" s="40"/>
      <c r="O163" s="40"/>
      <c r="P163" s="40"/>
      <c r="Q163" s="40"/>
      <c r="R163">
        <v>25</v>
      </c>
    </row>
    <row r="164" spans="1:18" x14ac:dyDescent="0.3">
      <c r="A164" s="47" t="s">
        <v>777</v>
      </c>
      <c r="B164" s="12"/>
      <c r="C164" t="s">
        <v>379</v>
      </c>
      <c r="D164" t="s">
        <v>380</v>
      </c>
      <c r="E164" s="6">
        <v>98.9</v>
      </c>
      <c r="F164" s="4">
        <f t="shared" si="8"/>
        <v>5.4999999999999938E-2</v>
      </c>
      <c r="G164" s="3">
        <f>E164*0.45</f>
        <v>44.505000000000003</v>
      </c>
      <c r="H164" s="40"/>
      <c r="J164" t="s">
        <v>299</v>
      </c>
      <c r="N164" s="40"/>
      <c r="O164" s="40"/>
      <c r="P164" s="40"/>
      <c r="Q164" s="40"/>
      <c r="R164">
        <v>1</v>
      </c>
    </row>
    <row r="165" spans="1:18" x14ac:dyDescent="0.3">
      <c r="A165" s="47" t="s">
        <v>777</v>
      </c>
      <c r="B165" s="12"/>
      <c r="C165" t="s">
        <v>381</v>
      </c>
      <c r="D165" t="s">
        <v>382</v>
      </c>
      <c r="E165" s="6">
        <v>150.5</v>
      </c>
      <c r="F165" s="4">
        <f t="shared" si="8"/>
        <v>5.4999999999999827E-2</v>
      </c>
      <c r="G165" s="3">
        <f>E165*0.45</f>
        <v>67.725000000000009</v>
      </c>
      <c r="H165" s="40"/>
      <c r="J165" t="s">
        <v>306</v>
      </c>
      <c r="N165" s="40"/>
      <c r="O165" s="40"/>
      <c r="P165" s="40"/>
      <c r="Q165" s="40"/>
      <c r="R165">
        <v>1</v>
      </c>
    </row>
    <row r="166" spans="1:18" x14ac:dyDescent="0.3">
      <c r="A166" s="47" t="s">
        <v>777</v>
      </c>
      <c r="B166" s="12"/>
      <c r="C166" t="s">
        <v>383</v>
      </c>
      <c r="D166" t="s">
        <v>384</v>
      </c>
      <c r="E166" s="6">
        <v>405</v>
      </c>
      <c r="F166" s="13">
        <f t="shared" si="8"/>
        <v>5.4999999999999938E-2</v>
      </c>
      <c r="G166" s="3">
        <f>E166*0.45</f>
        <v>182.25</v>
      </c>
      <c r="H166" s="40"/>
      <c r="J166" t="s">
        <v>309</v>
      </c>
      <c r="R166">
        <v>1</v>
      </c>
    </row>
    <row r="167" spans="1:18" x14ac:dyDescent="0.3">
      <c r="A167" s="47" t="s">
        <v>777</v>
      </c>
      <c r="B167" s="12"/>
      <c r="C167" t="s">
        <v>385</v>
      </c>
      <c r="D167" t="s">
        <v>386</v>
      </c>
      <c r="E167" s="6">
        <f>613+112</f>
        <v>725</v>
      </c>
      <c r="F167" s="13">
        <f t="shared" ref="F167:F198" si="9">1-G167*2.1/E167</f>
        <v>5.5000000000000049E-2</v>
      </c>
      <c r="G167" s="3">
        <f>E167*0.45</f>
        <v>326.25</v>
      </c>
      <c r="H167" s="40"/>
      <c r="J167" t="s">
        <v>348</v>
      </c>
      <c r="R167">
        <v>1</v>
      </c>
    </row>
    <row r="168" spans="1:18" x14ac:dyDescent="0.3">
      <c r="A168" s="47" t="s">
        <v>777</v>
      </c>
      <c r="B168" s="12"/>
      <c r="C168" t="s">
        <v>393</v>
      </c>
      <c r="D168" t="s">
        <v>394</v>
      </c>
      <c r="E168" s="6">
        <v>21.65</v>
      </c>
      <c r="F168" s="13">
        <f t="shared" si="9"/>
        <v>0.32101616628175511</v>
      </c>
      <c r="G168" s="3">
        <v>7</v>
      </c>
      <c r="H168" s="40"/>
      <c r="R168">
        <v>25</v>
      </c>
    </row>
    <row r="169" spans="1:18" x14ac:dyDescent="0.3">
      <c r="A169" s="47" t="s">
        <v>777</v>
      </c>
      <c r="B169" s="12"/>
      <c r="C169" t="s">
        <v>395</v>
      </c>
      <c r="D169" t="s">
        <v>396</v>
      </c>
      <c r="E169" s="6">
        <v>21.65</v>
      </c>
      <c r="F169" s="13">
        <f t="shared" si="9"/>
        <v>0.32101616628175511</v>
      </c>
      <c r="G169" s="3">
        <v>7</v>
      </c>
      <c r="H169" s="40"/>
      <c r="R169">
        <v>25</v>
      </c>
    </row>
    <row r="170" spans="1:18" x14ac:dyDescent="0.3">
      <c r="A170" s="47" t="s">
        <v>777</v>
      </c>
      <c r="B170" s="12"/>
      <c r="C170" t="s">
        <v>397</v>
      </c>
      <c r="D170" t="s">
        <v>398</v>
      </c>
      <c r="E170" s="6">
        <v>21.65</v>
      </c>
      <c r="F170" s="13">
        <f t="shared" si="9"/>
        <v>0.32101616628175511</v>
      </c>
      <c r="G170" s="3">
        <v>7</v>
      </c>
      <c r="H170" s="40"/>
      <c r="R170">
        <v>25</v>
      </c>
    </row>
    <row r="171" spans="1:18" x14ac:dyDescent="0.3">
      <c r="A171" s="47" t="s">
        <v>601</v>
      </c>
      <c r="B171" s="12"/>
      <c r="C171" t="s">
        <v>616</v>
      </c>
      <c r="D171" t="s">
        <v>617</v>
      </c>
      <c r="E171" s="6">
        <v>905.79</v>
      </c>
      <c r="F171" s="13">
        <f t="shared" si="9"/>
        <v>-0.23223140495867756</v>
      </c>
      <c r="G171" s="3">
        <v>531.49661157024786</v>
      </c>
      <c r="H171" s="40"/>
      <c r="K171">
        <v>100</v>
      </c>
    </row>
    <row r="172" spans="1:18" x14ac:dyDescent="0.3">
      <c r="A172" s="47" t="s">
        <v>601</v>
      </c>
      <c r="B172" s="12"/>
      <c r="C172" t="s">
        <v>602</v>
      </c>
      <c r="D172" t="s">
        <v>603</v>
      </c>
      <c r="E172" s="3">
        <v>1320.94</v>
      </c>
      <c r="F172" s="13">
        <f t="shared" si="9"/>
        <v>0.10000000000000009</v>
      </c>
      <c r="G172" s="3">
        <v>566.11714285714288</v>
      </c>
      <c r="H172" s="40"/>
      <c r="K172">
        <v>100</v>
      </c>
    </row>
    <row r="173" spans="1:18" x14ac:dyDescent="0.3">
      <c r="A173" s="47" t="s">
        <v>601</v>
      </c>
      <c r="B173" s="12"/>
      <c r="C173" t="s">
        <v>608</v>
      </c>
      <c r="D173" t="s">
        <v>609</v>
      </c>
      <c r="E173" s="3">
        <f>692*2.47</f>
        <v>1709.2400000000002</v>
      </c>
      <c r="F173" s="4">
        <f t="shared" si="9"/>
        <v>0.14999999999999991</v>
      </c>
      <c r="G173" s="3">
        <v>691.8352380952382</v>
      </c>
      <c r="K173">
        <v>160</v>
      </c>
    </row>
    <row r="174" spans="1:18" x14ac:dyDescent="0.3">
      <c r="A174" s="47" t="s">
        <v>601</v>
      </c>
      <c r="B174" s="12"/>
      <c r="C174" t="s">
        <v>606</v>
      </c>
      <c r="D174" t="s">
        <v>607</v>
      </c>
      <c r="E174" s="3">
        <f>987*2.47</f>
        <v>2437.8900000000003</v>
      </c>
      <c r="F174" s="4">
        <f t="shared" si="9"/>
        <v>0.15000000000000002</v>
      </c>
      <c r="G174" s="3">
        <v>986.7650000000001</v>
      </c>
      <c r="K174">
        <v>240</v>
      </c>
    </row>
    <row r="175" spans="1:18" x14ac:dyDescent="0.3">
      <c r="A175" s="47" t="s">
        <v>601</v>
      </c>
      <c r="B175" s="12"/>
      <c r="C175" t="s">
        <v>620</v>
      </c>
      <c r="D175" t="s">
        <v>765</v>
      </c>
      <c r="E175" s="6">
        <v>224</v>
      </c>
      <c r="F175" s="4">
        <f t="shared" si="9"/>
        <v>-0.21321875000000001</v>
      </c>
      <c r="G175" s="3">
        <v>129.41</v>
      </c>
      <c r="Q175">
        <v>800</v>
      </c>
    </row>
    <row r="176" spans="1:18" x14ac:dyDescent="0.3">
      <c r="A176" s="47" t="s">
        <v>601</v>
      </c>
      <c r="B176" s="12"/>
      <c r="C176" t="s">
        <v>621</v>
      </c>
      <c r="D176" t="s">
        <v>622</v>
      </c>
      <c r="E176" s="6">
        <v>224</v>
      </c>
      <c r="F176" s="4">
        <f t="shared" si="9"/>
        <v>-0.29299999999999993</v>
      </c>
      <c r="G176" s="3">
        <v>137.91999999999999</v>
      </c>
      <c r="Q176">
        <v>800</v>
      </c>
    </row>
    <row r="177" spans="1:18" x14ac:dyDescent="0.3">
      <c r="A177" s="47" t="s">
        <v>601</v>
      </c>
      <c r="B177" s="12"/>
      <c r="C177" t="s">
        <v>623</v>
      </c>
      <c r="D177" t="s">
        <v>624</v>
      </c>
      <c r="E177" s="6">
        <v>259</v>
      </c>
      <c r="F177" s="4">
        <f t="shared" si="9"/>
        <v>-0.20454054054054049</v>
      </c>
      <c r="G177" s="3">
        <v>148.56</v>
      </c>
      <c r="Q177">
        <v>800</v>
      </c>
    </row>
    <row r="178" spans="1:18" x14ac:dyDescent="0.3">
      <c r="A178" s="47" t="s">
        <v>601</v>
      </c>
      <c r="B178" s="12"/>
      <c r="C178" t="s">
        <v>618</v>
      </c>
      <c r="D178" t="s">
        <v>619</v>
      </c>
      <c r="E178" s="6">
        <v>224</v>
      </c>
      <c r="F178" s="4">
        <f t="shared" si="9"/>
        <v>-0.11525000000000007</v>
      </c>
      <c r="G178" s="3">
        <v>118.96</v>
      </c>
      <c r="Q178">
        <v>800</v>
      </c>
    </row>
    <row r="179" spans="1:18" x14ac:dyDescent="0.3">
      <c r="A179" s="47" t="s">
        <v>601</v>
      </c>
      <c r="B179" s="12"/>
      <c r="C179" t="s">
        <v>627</v>
      </c>
      <c r="D179" t="s">
        <v>766</v>
      </c>
      <c r="E179" s="6">
        <v>259</v>
      </c>
      <c r="F179" s="4">
        <f t="shared" si="9"/>
        <v>-0.12208108108108107</v>
      </c>
      <c r="G179" s="3">
        <v>138.38999999999999</v>
      </c>
      <c r="Q179">
        <v>1050</v>
      </c>
    </row>
    <row r="180" spans="1:18" x14ac:dyDescent="0.3">
      <c r="A180" s="47" t="s">
        <v>601</v>
      </c>
      <c r="B180" s="12"/>
      <c r="C180" t="s">
        <v>628</v>
      </c>
      <c r="D180" t="s">
        <v>629</v>
      </c>
      <c r="E180" s="6">
        <v>259</v>
      </c>
      <c r="F180" s="4">
        <f t="shared" si="9"/>
        <v>-0.16310810810810805</v>
      </c>
      <c r="G180" s="3">
        <v>143.44999999999999</v>
      </c>
      <c r="Q180">
        <v>1050</v>
      </c>
    </row>
    <row r="181" spans="1:18" x14ac:dyDescent="0.3">
      <c r="A181" s="47" t="s">
        <v>601</v>
      </c>
      <c r="B181" s="12"/>
      <c r="C181" t="s">
        <v>630</v>
      </c>
      <c r="D181" t="s">
        <v>631</v>
      </c>
      <c r="E181" s="6">
        <v>308</v>
      </c>
      <c r="F181" s="4">
        <f t="shared" si="9"/>
        <v>-8.927272727272717E-2</v>
      </c>
      <c r="G181" s="3">
        <v>159.76</v>
      </c>
      <c r="Q181">
        <v>1050</v>
      </c>
    </row>
    <row r="182" spans="1:18" x14ac:dyDescent="0.3">
      <c r="A182" s="47" t="s">
        <v>601</v>
      </c>
      <c r="B182" s="12"/>
      <c r="C182" t="s">
        <v>625</v>
      </c>
      <c r="D182" t="s">
        <v>626</v>
      </c>
      <c r="E182" s="6">
        <v>259</v>
      </c>
      <c r="F182" s="4">
        <f t="shared" si="9"/>
        <v>-7.7000000000000179E-2</v>
      </c>
      <c r="G182" s="3">
        <v>132.83000000000001</v>
      </c>
      <c r="Q182">
        <v>1050</v>
      </c>
    </row>
    <row r="183" spans="1:18" x14ac:dyDescent="0.3">
      <c r="A183" s="47" t="s">
        <v>601</v>
      </c>
      <c r="B183" s="12"/>
      <c r="C183" t="s">
        <v>604</v>
      </c>
      <c r="D183" t="s">
        <v>605</v>
      </c>
      <c r="E183" s="3">
        <f>1594*2.47</f>
        <v>3937.1800000000003</v>
      </c>
      <c r="F183" s="4">
        <f t="shared" si="9"/>
        <v>0.15000000000000002</v>
      </c>
      <c r="G183" s="3">
        <v>1593.6204761904762</v>
      </c>
      <c r="K183">
        <v>400</v>
      </c>
    </row>
    <row r="184" spans="1:18" x14ac:dyDescent="0.3">
      <c r="A184" s="47" t="s">
        <v>778</v>
      </c>
      <c r="B184" s="12"/>
      <c r="C184" t="s">
        <v>610</v>
      </c>
      <c r="D184" t="s">
        <v>611</v>
      </c>
      <c r="E184" s="6">
        <v>18.399999999999999</v>
      </c>
      <c r="F184" s="4">
        <f t="shared" si="9"/>
        <v>-0.31000000000000005</v>
      </c>
      <c r="G184" s="3">
        <v>11.478095238095237</v>
      </c>
      <c r="K184">
        <v>18</v>
      </c>
    </row>
    <row r="185" spans="1:18" x14ac:dyDescent="0.3">
      <c r="A185" s="47" t="s">
        <v>778</v>
      </c>
      <c r="B185" s="12"/>
      <c r="C185" t="s">
        <v>612</v>
      </c>
      <c r="D185" t="s">
        <v>613</v>
      </c>
      <c r="E185" s="6">
        <v>18.399999999999999</v>
      </c>
      <c r="F185" s="4">
        <f t="shared" si="9"/>
        <v>-0.31000000000000005</v>
      </c>
      <c r="G185" s="3">
        <v>11.478095238095237</v>
      </c>
      <c r="K185">
        <v>36</v>
      </c>
    </row>
    <row r="186" spans="1:18" x14ac:dyDescent="0.3">
      <c r="A186" s="47" t="s">
        <v>778</v>
      </c>
      <c r="B186" s="12"/>
      <c r="C186" t="s">
        <v>614</v>
      </c>
      <c r="D186" t="s">
        <v>615</v>
      </c>
      <c r="E186" s="6">
        <v>18.399999999999999</v>
      </c>
      <c r="F186" s="4">
        <f t="shared" si="9"/>
        <v>-0.31000000000000005</v>
      </c>
      <c r="G186" s="3">
        <v>11.478095238095237</v>
      </c>
      <c r="K186">
        <v>58</v>
      </c>
    </row>
    <row r="187" spans="1:18" x14ac:dyDescent="0.3">
      <c r="A187" s="47" t="s">
        <v>416</v>
      </c>
      <c r="B187" s="12"/>
      <c r="C187" t="s">
        <v>744</v>
      </c>
      <c r="D187" t="s">
        <v>417</v>
      </c>
      <c r="E187" s="3">
        <v>10500</v>
      </c>
      <c r="F187" s="4">
        <f t="shared" si="9"/>
        <v>0.18000000000000005</v>
      </c>
      <c r="G187" s="3">
        <v>4100</v>
      </c>
      <c r="K187" s="9">
        <v>0.36</v>
      </c>
    </row>
    <row r="188" spans="1:18" x14ac:dyDescent="0.3">
      <c r="A188" s="47" t="s">
        <v>416</v>
      </c>
      <c r="B188" s="12"/>
      <c r="C188" t="s">
        <v>746</v>
      </c>
      <c r="D188" t="s">
        <v>420</v>
      </c>
      <c r="E188" s="3">
        <v>2006</v>
      </c>
      <c r="F188" s="4">
        <f t="shared" si="9"/>
        <v>0.14954187437686939</v>
      </c>
      <c r="G188" s="3">
        <v>812.39</v>
      </c>
      <c r="K188" s="9">
        <v>5.5E-2</v>
      </c>
    </row>
    <row r="189" spans="1:18" x14ac:dyDescent="0.3">
      <c r="A189" s="47" t="s">
        <v>416</v>
      </c>
      <c r="B189" s="12"/>
      <c r="C189" t="s">
        <v>743</v>
      </c>
      <c r="D189" t="s">
        <v>419</v>
      </c>
      <c r="E189" s="3">
        <v>370.73</v>
      </c>
      <c r="F189" s="4">
        <f t="shared" si="9"/>
        <v>-1.078952337274508E-5</v>
      </c>
      <c r="G189" s="3">
        <v>176.54</v>
      </c>
      <c r="K189" s="9">
        <v>0.8</v>
      </c>
    </row>
    <row r="190" spans="1:18" x14ac:dyDescent="0.3">
      <c r="A190" s="47" t="s">
        <v>416</v>
      </c>
      <c r="B190" s="12"/>
      <c r="C190" t="s">
        <v>745</v>
      </c>
      <c r="D190" t="s">
        <v>418</v>
      </c>
      <c r="E190" s="3">
        <v>595.09</v>
      </c>
      <c r="F190" s="4">
        <f t="shared" si="9"/>
        <v>0.14978742711186543</v>
      </c>
      <c r="G190" s="3">
        <v>240.93</v>
      </c>
      <c r="K190" s="9">
        <v>0.8</v>
      </c>
    </row>
    <row r="191" spans="1:18" x14ac:dyDescent="0.3">
      <c r="A191" s="47" t="s">
        <v>228</v>
      </c>
      <c r="B191" s="12"/>
      <c r="C191" t="s">
        <v>229</v>
      </c>
      <c r="D191" t="s">
        <v>230</v>
      </c>
      <c r="E191" s="3">
        <v>2288</v>
      </c>
      <c r="F191" s="4">
        <f t="shared" si="9"/>
        <v>-0.57500000000000018</v>
      </c>
      <c r="G191" s="3">
        <v>1716</v>
      </c>
      <c r="H191" s="14"/>
      <c r="K191">
        <v>1</v>
      </c>
      <c r="L191">
        <v>80</v>
      </c>
      <c r="R191">
        <v>3</v>
      </c>
    </row>
    <row r="192" spans="1:18" x14ac:dyDescent="0.3">
      <c r="A192" s="47" t="s">
        <v>228</v>
      </c>
      <c r="B192" s="12"/>
      <c r="C192" t="s">
        <v>239</v>
      </c>
      <c r="D192" t="s">
        <v>240</v>
      </c>
      <c r="E192" s="3">
        <v>4100</v>
      </c>
      <c r="F192" s="4">
        <f t="shared" si="9"/>
        <v>-0.57499999999999996</v>
      </c>
      <c r="G192" s="3">
        <v>3075</v>
      </c>
      <c r="H192" s="14"/>
      <c r="K192">
        <v>15</v>
      </c>
      <c r="L192">
        <v>250</v>
      </c>
      <c r="R192">
        <v>20</v>
      </c>
    </row>
    <row r="193" spans="1:18" x14ac:dyDescent="0.3">
      <c r="A193" s="47" t="s">
        <v>228</v>
      </c>
      <c r="B193" s="12"/>
      <c r="C193" t="s">
        <v>231</v>
      </c>
      <c r="D193" t="s">
        <v>232</v>
      </c>
      <c r="E193" s="6">
        <v>3250</v>
      </c>
      <c r="F193" s="4">
        <f t="shared" si="9"/>
        <v>-5.0000000000000044E-2</v>
      </c>
      <c r="G193" s="3">
        <f>E193/2</f>
        <v>1625</v>
      </c>
      <c r="H193" s="14"/>
      <c r="K193">
        <v>2</v>
      </c>
    </row>
    <row r="194" spans="1:18" x14ac:dyDescent="0.3">
      <c r="A194" s="47" t="s">
        <v>228</v>
      </c>
      <c r="B194" s="12"/>
      <c r="C194" t="s">
        <v>233</v>
      </c>
      <c r="D194" t="s">
        <v>234</v>
      </c>
      <c r="E194" s="3">
        <v>2480</v>
      </c>
      <c r="F194" s="4">
        <f t="shared" si="9"/>
        <v>-0.57499999999999996</v>
      </c>
      <c r="G194" s="3">
        <v>1860</v>
      </c>
      <c r="H194" s="14"/>
      <c r="K194">
        <v>3</v>
      </c>
      <c r="L194">
        <v>105</v>
      </c>
      <c r="R194">
        <v>12</v>
      </c>
    </row>
    <row r="195" spans="1:18" x14ac:dyDescent="0.3">
      <c r="A195" s="47" t="s">
        <v>228</v>
      </c>
      <c r="B195" s="12"/>
      <c r="C195" t="s">
        <v>235</v>
      </c>
      <c r="D195" t="s">
        <v>236</v>
      </c>
      <c r="E195" s="6">
        <v>8300</v>
      </c>
      <c r="F195" s="4">
        <f t="shared" si="9"/>
        <v>-5.0000000000000044E-2</v>
      </c>
      <c r="G195" s="3">
        <v>4150</v>
      </c>
      <c r="H195" s="14"/>
      <c r="K195">
        <v>4</v>
      </c>
    </row>
    <row r="196" spans="1:18" x14ac:dyDescent="0.3">
      <c r="A196" s="47" t="s">
        <v>228</v>
      </c>
      <c r="B196" s="12"/>
      <c r="C196" t="s">
        <v>237</v>
      </c>
      <c r="D196" t="s">
        <v>238</v>
      </c>
      <c r="E196" s="3">
        <v>3495</v>
      </c>
      <c r="F196" s="4">
        <f t="shared" si="9"/>
        <v>-0.57499999999999996</v>
      </c>
      <c r="G196" s="3">
        <v>2621.25</v>
      </c>
      <c r="H196" s="14"/>
      <c r="K196" s="40">
        <v>7.5</v>
      </c>
      <c r="L196">
        <v>220</v>
      </c>
      <c r="R196">
        <v>15</v>
      </c>
    </row>
    <row r="197" spans="1:18" x14ac:dyDescent="0.3">
      <c r="A197" s="47" t="s">
        <v>783</v>
      </c>
      <c r="B197" s="12"/>
      <c r="C197" t="s">
        <v>784</v>
      </c>
      <c r="D197" t="s">
        <v>785</v>
      </c>
      <c r="E197" s="3">
        <f>G197*2.47</f>
        <v>226.67190000000002</v>
      </c>
      <c r="F197" s="4">
        <f t="shared" si="9"/>
        <v>0.14979757085020251</v>
      </c>
      <c r="G197" s="3">
        <v>91.77</v>
      </c>
      <c r="I197">
        <v>1.4</v>
      </c>
      <c r="J197" t="s">
        <v>787</v>
      </c>
      <c r="K197" s="40">
        <v>5.9</v>
      </c>
      <c r="L197">
        <v>90</v>
      </c>
    </row>
    <row r="198" spans="1:18" x14ac:dyDescent="0.3">
      <c r="A198" s="47" t="s">
        <v>783</v>
      </c>
      <c r="B198" s="12"/>
      <c r="C198" t="s">
        <v>788</v>
      </c>
      <c r="D198" t="s">
        <v>786</v>
      </c>
      <c r="E198" s="3">
        <f>G198*2.47</f>
        <v>247.93860000000001</v>
      </c>
      <c r="F198" s="4">
        <f t="shared" si="9"/>
        <v>0.1497975708502024</v>
      </c>
      <c r="G198" s="3">
        <v>100.38</v>
      </c>
      <c r="I198">
        <v>1.4</v>
      </c>
      <c r="K198" s="40">
        <v>8.3000000000000007</v>
      </c>
      <c r="L198">
        <v>100</v>
      </c>
    </row>
    <row r="199" spans="1:18" x14ac:dyDescent="0.3">
      <c r="A199" s="47" t="s">
        <v>779</v>
      </c>
      <c r="B199" s="12"/>
      <c r="C199"/>
      <c r="D199" t="s">
        <v>283</v>
      </c>
      <c r="E199" s="3">
        <f>G199*2.47</f>
        <v>66.690000000000012</v>
      </c>
      <c r="F199" s="4">
        <f t="shared" ref="F199:F200" si="10">1-G199*2.1/E199</f>
        <v>0.14979757085020251</v>
      </c>
      <c r="G199" s="3">
        <v>27</v>
      </c>
      <c r="H199" s="14"/>
      <c r="K199" s="40"/>
    </row>
    <row r="200" spans="1:18" x14ac:dyDescent="0.3">
      <c r="A200" s="50" t="s">
        <v>779</v>
      </c>
      <c r="B200" s="12"/>
      <c r="C200"/>
      <c r="D200" t="s">
        <v>284</v>
      </c>
      <c r="E200" s="3">
        <f>G200*2.47</f>
        <v>98.800000000000011</v>
      </c>
      <c r="F200" s="13">
        <f t="shared" si="10"/>
        <v>0.14979757085020251</v>
      </c>
      <c r="G200" s="3">
        <v>40</v>
      </c>
      <c r="H200" s="14"/>
    </row>
    <row r="201" spans="1:18" x14ac:dyDescent="0.3">
      <c r="A201" s="50" t="s">
        <v>254</v>
      </c>
      <c r="B201" s="12"/>
      <c r="C201" t="s">
        <v>255</v>
      </c>
      <c r="D201" t="s">
        <v>256</v>
      </c>
      <c r="E201" s="6"/>
      <c r="F201" s="13"/>
      <c r="G201" s="3">
        <v>216.315</v>
      </c>
      <c r="H201" s="40"/>
      <c r="K201">
        <v>8</v>
      </c>
      <c r="L201">
        <v>370</v>
      </c>
    </row>
    <row r="202" spans="1:18" x14ac:dyDescent="0.3">
      <c r="A202" s="50" t="s">
        <v>254</v>
      </c>
      <c r="B202" s="12"/>
      <c r="C202" t="s">
        <v>257</v>
      </c>
      <c r="D202" t="s">
        <v>258</v>
      </c>
      <c r="E202" s="6"/>
      <c r="F202" s="13"/>
      <c r="G202" s="3">
        <v>202.92</v>
      </c>
      <c r="H202" s="40"/>
      <c r="K202">
        <v>10</v>
      </c>
      <c r="L202">
        <v>430</v>
      </c>
    </row>
    <row r="203" spans="1:18" x14ac:dyDescent="0.3">
      <c r="A203" s="50" t="s">
        <v>254</v>
      </c>
      <c r="B203" s="12"/>
      <c r="C203" t="s">
        <v>259</v>
      </c>
      <c r="D203" t="s">
        <v>260</v>
      </c>
      <c r="E203" s="6">
        <v>531</v>
      </c>
      <c r="F203" s="13">
        <f t="shared" ref="F203:F243" si="11">1-G203*2.1/E203</f>
        <v>0.19749152542372883</v>
      </c>
      <c r="G203" s="3">
        <v>202.92</v>
      </c>
      <c r="H203" s="40"/>
      <c r="K203">
        <v>10</v>
      </c>
      <c r="L203">
        <v>430</v>
      </c>
    </row>
    <row r="204" spans="1:18" x14ac:dyDescent="0.3">
      <c r="A204" s="50" t="s">
        <v>254</v>
      </c>
      <c r="B204" s="12"/>
      <c r="C204" t="s">
        <v>261</v>
      </c>
      <c r="D204" t="s">
        <v>262</v>
      </c>
      <c r="E204" s="6">
        <v>558</v>
      </c>
      <c r="F204" s="13">
        <f t="shared" si="11"/>
        <v>0.16741397849462369</v>
      </c>
      <c r="G204" s="3">
        <v>221.23</v>
      </c>
      <c r="H204" s="40"/>
      <c r="K204">
        <v>11</v>
      </c>
      <c r="L204">
        <v>610</v>
      </c>
    </row>
    <row r="205" spans="1:18" x14ac:dyDescent="0.3">
      <c r="A205" s="50" t="s">
        <v>254</v>
      </c>
      <c r="B205" s="12"/>
      <c r="C205" t="s">
        <v>263</v>
      </c>
      <c r="D205" t="s">
        <v>264</v>
      </c>
      <c r="E205" s="6">
        <v>547</v>
      </c>
      <c r="F205" s="13">
        <f t="shared" si="11"/>
        <v>0.1561608775137111</v>
      </c>
      <c r="G205" s="3">
        <v>219.8</v>
      </c>
      <c r="H205" s="40"/>
      <c r="K205">
        <v>11</v>
      </c>
      <c r="L205">
        <v>600</v>
      </c>
    </row>
    <row r="206" spans="1:18" x14ac:dyDescent="0.3">
      <c r="A206" s="50" t="s">
        <v>254</v>
      </c>
      <c r="B206" s="12"/>
      <c r="C206" t="s">
        <v>265</v>
      </c>
      <c r="D206" t="s">
        <v>266</v>
      </c>
      <c r="E206" s="6">
        <v>578</v>
      </c>
      <c r="F206" s="13">
        <f t="shared" si="11"/>
        <v>0.12370415224913489</v>
      </c>
      <c r="G206" s="3">
        <v>241.19</v>
      </c>
      <c r="H206" s="40"/>
      <c r="K206">
        <v>16</v>
      </c>
      <c r="L206">
        <v>780</v>
      </c>
      <c r="N206" s="40"/>
      <c r="O206" s="40"/>
      <c r="P206" s="40"/>
      <c r="Q206" s="40"/>
    </row>
    <row r="207" spans="1:18" x14ac:dyDescent="0.3">
      <c r="A207" s="47" t="s">
        <v>254</v>
      </c>
      <c r="B207" s="12"/>
      <c r="C207" t="s">
        <v>267</v>
      </c>
      <c r="D207" t="s">
        <v>268</v>
      </c>
      <c r="E207" s="6">
        <v>565</v>
      </c>
      <c r="F207" s="13">
        <f t="shared" si="11"/>
        <v>0.20619999999999994</v>
      </c>
      <c r="G207" s="3">
        <v>213.57</v>
      </c>
      <c r="H207" s="12"/>
      <c r="K207" s="40">
        <v>16</v>
      </c>
      <c r="L207">
        <v>760</v>
      </c>
    </row>
    <row r="208" spans="1:18" x14ac:dyDescent="0.3">
      <c r="A208" s="47" t="s">
        <v>254</v>
      </c>
      <c r="B208" s="12"/>
      <c r="C208" t="s">
        <v>269</v>
      </c>
      <c r="D208" t="s">
        <v>270</v>
      </c>
      <c r="E208" s="6">
        <v>650</v>
      </c>
      <c r="F208" s="13">
        <f t="shared" si="11"/>
        <v>0.16743076923076927</v>
      </c>
      <c r="G208" s="3">
        <v>257.7</v>
      </c>
      <c r="H208" s="12"/>
      <c r="K208" s="40">
        <v>21.5</v>
      </c>
      <c r="L208">
        <v>1100</v>
      </c>
    </row>
    <row r="209" spans="1:18" x14ac:dyDescent="0.3">
      <c r="A209" s="47" t="s">
        <v>254</v>
      </c>
      <c r="B209" s="12"/>
      <c r="C209" t="s">
        <v>271</v>
      </c>
      <c r="D209" t="s">
        <v>272</v>
      </c>
      <c r="E209" s="6">
        <v>628</v>
      </c>
      <c r="F209" s="13">
        <f t="shared" si="11"/>
        <v>0.21139649681528649</v>
      </c>
      <c r="G209" s="3">
        <v>235.83</v>
      </c>
      <c r="H209" s="12"/>
      <c r="K209" s="40">
        <v>21.5</v>
      </c>
      <c r="L209">
        <v>1100</v>
      </c>
    </row>
    <row r="210" spans="1:18" x14ac:dyDescent="0.3">
      <c r="A210" s="47" t="s">
        <v>254</v>
      </c>
      <c r="B210" s="12"/>
      <c r="C210" t="s">
        <v>273</v>
      </c>
      <c r="D210" t="s">
        <v>274</v>
      </c>
      <c r="E210" s="6">
        <v>692</v>
      </c>
      <c r="F210" s="13">
        <f t="shared" si="11"/>
        <v>0.16752601156069369</v>
      </c>
      <c r="G210" s="5">
        <v>274.32</v>
      </c>
      <c r="H210" s="12"/>
      <c r="K210" s="40">
        <v>26</v>
      </c>
      <c r="L210">
        <v>1500</v>
      </c>
    </row>
    <row r="211" spans="1:18" x14ac:dyDescent="0.3">
      <c r="A211" s="47" t="s">
        <v>254</v>
      </c>
      <c r="B211" s="12"/>
      <c r="C211" t="s">
        <v>275</v>
      </c>
      <c r="D211" t="s">
        <v>276</v>
      </c>
      <c r="E211" s="6">
        <v>647</v>
      </c>
      <c r="F211" s="13">
        <f t="shared" si="11"/>
        <v>0.19729366306027818</v>
      </c>
      <c r="G211" s="5">
        <v>247.31</v>
      </c>
      <c r="H211" s="40"/>
      <c r="K211">
        <v>26</v>
      </c>
      <c r="L211">
        <v>1460</v>
      </c>
    </row>
    <row r="212" spans="1:18" x14ac:dyDescent="0.3">
      <c r="A212" s="47" t="s">
        <v>254</v>
      </c>
      <c r="B212" s="12"/>
      <c r="C212" t="s">
        <v>277</v>
      </c>
      <c r="D212" t="s">
        <v>278</v>
      </c>
      <c r="E212" s="6">
        <v>741</v>
      </c>
      <c r="F212" s="13">
        <f t="shared" si="11"/>
        <v>0.16000000000000003</v>
      </c>
      <c r="G212" s="5">
        <v>296.39999999999998</v>
      </c>
      <c r="H212" s="40"/>
      <c r="K212">
        <v>30.5</v>
      </c>
      <c r="L212">
        <v>1850</v>
      </c>
    </row>
    <row r="213" spans="1:18" x14ac:dyDescent="0.3">
      <c r="A213" s="47" t="s">
        <v>254</v>
      </c>
      <c r="B213" s="12"/>
      <c r="C213" t="s">
        <v>279</v>
      </c>
      <c r="D213" t="s">
        <v>280</v>
      </c>
      <c r="E213" s="6">
        <v>732</v>
      </c>
      <c r="F213" s="13">
        <f t="shared" si="11"/>
        <v>0.16000000000000003</v>
      </c>
      <c r="G213" s="5">
        <v>292.8</v>
      </c>
      <c r="H213" s="40"/>
      <c r="K213">
        <v>34</v>
      </c>
      <c r="L213">
        <v>2200</v>
      </c>
    </row>
    <row r="214" spans="1:18" x14ac:dyDescent="0.3">
      <c r="A214" s="47" t="s">
        <v>254</v>
      </c>
      <c r="B214" s="12"/>
      <c r="C214" t="s">
        <v>281</v>
      </c>
      <c r="D214" t="s">
        <v>282</v>
      </c>
      <c r="E214" s="6">
        <v>731</v>
      </c>
      <c r="F214" s="13">
        <f t="shared" si="11"/>
        <v>0.16000000000000003</v>
      </c>
      <c r="G214" s="5">
        <v>292.39999999999998</v>
      </c>
      <c r="H214" s="40"/>
      <c r="K214" s="12">
        <v>34</v>
      </c>
      <c r="L214">
        <v>2200</v>
      </c>
    </row>
    <row r="215" spans="1:18" x14ac:dyDescent="0.3">
      <c r="A215" s="47" t="s">
        <v>241</v>
      </c>
      <c r="B215" s="12"/>
      <c r="C215" t="s">
        <v>242</v>
      </c>
      <c r="D215" t="s">
        <v>243</v>
      </c>
      <c r="E215" s="8">
        <v>289</v>
      </c>
      <c r="F215" s="13">
        <f t="shared" si="11"/>
        <v>-0.26079930795847739</v>
      </c>
      <c r="G215" s="3">
        <v>173.51</v>
      </c>
      <c r="H215" s="40"/>
      <c r="I215">
        <v>4</v>
      </c>
      <c r="K215" s="12">
        <v>0.9</v>
      </c>
      <c r="L215">
        <v>90</v>
      </c>
    </row>
    <row r="216" spans="1:18" x14ac:dyDescent="0.3">
      <c r="A216" s="47" t="s">
        <v>241</v>
      </c>
      <c r="B216" s="12"/>
      <c r="C216" t="s">
        <v>244</v>
      </c>
      <c r="D216" t="s">
        <v>243</v>
      </c>
      <c r="E216" s="6">
        <v>327</v>
      </c>
      <c r="F216" s="13">
        <f t="shared" si="11"/>
        <v>-0.41284403669724767</v>
      </c>
      <c r="G216" s="3">
        <f>193+27</f>
        <v>220</v>
      </c>
      <c r="H216" s="40"/>
      <c r="I216">
        <v>6</v>
      </c>
      <c r="K216" s="12">
        <v>2</v>
      </c>
      <c r="L216">
        <v>120</v>
      </c>
      <c r="R216">
        <v>4.8</v>
      </c>
    </row>
    <row r="217" spans="1:18" x14ac:dyDescent="0.3">
      <c r="A217" s="47" t="s">
        <v>241</v>
      </c>
      <c r="B217" s="12"/>
      <c r="C217" t="s">
        <v>245</v>
      </c>
      <c r="D217" t="s">
        <v>243</v>
      </c>
      <c r="E217" s="6">
        <v>449</v>
      </c>
      <c r="F217" s="13">
        <f t="shared" si="11"/>
        <v>9.7327394209354101E-2</v>
      </c>
      <c r="G217" s="3">
        <f>166+27</f>
        <v>193</v>
      </c>
      <c r="H217" s="12"/>
      <c r="I217">
        <v>7</v>
      </c>
      <c r="K217" s="12">
        <v>4</v>
      </c>
      <c r="L217">
        <v>250</v>
      </c>
      <c r="R217">
        <v>7</v>
      </c>
    </row>
    <row r="218" spans="1:18" x14ac:dyDescent="0.3">
      <c r="A218" s="47" t="s">
        <v>241</v>
      </c>
      <c r="B218" s="12"/>
      <c r="C218" t="s">
        <v>246</v>
      </c>
      <c r="D218" t="s">
        <v>243</v>
      </c>
      <c r="E218" s="6">
        <v>575</v>
      </c>
      <c r="F218" s="13">
        <f t="shared" si="11"/>
        <v>0.18556521739130438</v>
      </c>
      <c r="G218" s="3">
        <f>196+27</f>
        <v>223</v>
      </c>
      <c r="H218" s="12"/>
      <c r="I218">
        <v>8</v>
      </c>
      <c r="K218">
        <v>8</v>
      </c>
      <c r="L218">
        <v>550</v>
      </c>
      <c r="R218">
        <v>9</v>
      </c>
    </row>
    <row r="219" spans="1:18" x14ac:dyDescent="0.3">
      <c r="A219" s="47" t="s">
        <v>241</v>
      </c>
      <c r="B219" s="12"/>
      <c r="C219" t="s">
        <v>247</v>
      </c>
      <c r="D219" t="s">
        <v>243</v>
      </c>
      <c r="E219" s="6">
        <v>539</v>
      </c>
      <c r="F219" s="13">
        <f t="shared" si="11"/>
        <v>0.20324675324675312</v>
      </c>
      <c r="G219" s="3">
        <v>204.5</v>
      </c>
      <c r="H219" s="40"/>
      <c r="I219">
        <v>8</v>
      </c>
      <c r="K219">
        <v>8</v>
      </c>
      <c r="L219">
        <v>550</v>
      </c>
    </row>
    <row r="220" spans="1:18" x14ac:dyDescent="0.3">
      <c r="A220" s="47" t="s">
        <v>241</v>
      </c>
      <c r="B220" s="12"/>
      <c r="C220" t="s">
        <v>248</v>
      </c>
      <c r="D220" t="s">
        <v>243</v>
      </c>
      <c r="E220" s="6">
        <v>1100</v>
      </c>
      <c r="F220" s="13">
        <f t="shared" si="11"/>
        <v>-3.854545454545466E-2</v>
      </c>
      <c r="G220" s="3">
        <f>504+40</f>
        <v>544</v>
      </c>
      <c r="H220" s="40"/>
      <c r="I220">
        <v>11</v>
      </c>
      <c r="K220">
        <v>16</v>
      </c>
      <c r="L220">
        <v>1100</v>
      </c>
    </row>
    <row r="221" spans="1:18" x14ac:dyDescent="0.3">
      <c r="A221" s="47" t="s">
        <v>241</v>
      </c>
      <c r="B221" s="12"/>
      <c r="C221" t="s">
        <v>249</v>
      </c>
      <c r="D221" t="s">
        <v>243</v>
      </c>
      <c r="E221" s="6">
        <v>1095</v>
      </c>
      <c r="F221" s="13">
        <f t="shared" si="11"/>
        <v>-4.5205479452054886E-2</v>
      </c>
      <c r="G221" s="3">
        <f>505+40</f>
        <v>545</v>
      </c>
      <c r="H221" s="40"/>
      <c r="I221">
        <v>11</v>
      </c>
      <c r="K221" s="12">
        <v>16</v>
      </c>
      <c r="L221">
        <v>1100</v>
      </c>
    </row>
    <row r="222" spans="1:18" x14ac:dyDescent="0.3">
      <c r="A222" s="47" t="s">
        <v>241</v>
      </c>
      <c r="B222" s="12"/>
      <c r="C222" t="s">
        <v>878</v>
      </c>
      <c r="D222" t="s">
        <v>243</v>
      </c>
      <c r="E222" s="6">
        <v>1175</v>
      </c>
      <c r="F222" s="13">
        <f t="shared" si="11"/>
        <v>-2.9446808510638522E-2</v>
      </c>
      <c r="G222" s="3">
        <f>536+40</f>
        <v>576</v>
      </c>
      <c r="H222" s="40"/>
      <c r="I222">
        <v>12</v>
      </c>
      <c r="K222" s="12">
        <v>19</v>
      </c>
      <c r="L222">
        <v>1500</v>
      </c>
    </row>
    <row r="223" spans="1:18" x14ac:dyDescent="0.3">
      <c r="A223" s="47" t="s">
        <v>241</v>
      </c>
      <c r="B223" s="12"/>
      <c r="C223" t="s">
        <v>250</v>
      </c>
      <c r="D223" t="s">
        <v>243</v>
      </c>
      <c r="E223" s="6">
        <v>1175</v>
      </c>
      <c r="F223" s="4">
        <f t="shared" si="11"/>
        <v>-4.7319148936170397E-2</v>
      </c>
      <c r="G223" s="3">
        <f>546+40</f>
        <v>586</v>
      </c>
      <c r="H223" s="40"/>
      <c r="I223">
        <v>12</v>
      </c>
      <c r="K223" s="12">
        <v>19</v>
      </c>
      <c r="L223">
        <v>1500</v>
      </c>
    </row>
    <row r="224" spans="1:18" x14ac:dyDescent="0.3">
      <c r="A224" s="47" t="s">
        <v>241</v>
      </c>
      <c r="B224" s="12"/>
      <c r="C224" t="s">
        <v>251</v>
      </c>
      <c r="D224" t="s">
        <v>243</v>
      </c>
      <c r="E224" s="6">
        <v>1696</v>
      </c>
      <c r="F224" s="4">
        <f t="shared" si="11"/>
        <v>5.2771226415094352E-2</v>
      </c>
      <c r="G224" s="3">
        <v>765</v>
      </c>
      <c r="H224" s="40"/>
      <c r="I224">
        <v>12</v>
      </c>
      <c r="K224" s="12">
        <v>29</v>
      </c>
      <c r="L224">
        <v>2200</v>
      </c>
    </row>
    <row r="225" spans="1:12" x14ac:dyDescent="0.3">
      <c r="A225" s="47" t="s">
        <v>241</v>
      </c>
      <c r="B225" s="12"/>
      <c r="C225" t="s">
        <v>252</v>
      </c>
      <c r="D225" t="s">
        <v>243</v>
      </c>
      <c r="E225" s="6">
        <v>2800</v>
      </c>
      <c r="F225" s="4">
        <f t="shared" si="11"/>
        <v>-8.7499999999999911E-2</v>
      </c>
      <c r="G225" s="3">
        <f>1400+50</f>
        <v>1450</v>
      </c>
      <c r="H225" s="40"/>
      <c r="I225">
        <v>12</v>
      </c>
      <c r="K225" s="12">
        <v>37</v>
      </c>
      <c r="L225">
        <v>3000</v>
      </c>
    </row>
    <row r="226" spans="1:12" x14ac:dyDescent="0.3">
      <c r="A226" s="47" t="s">
        <v>241</v>
      </c>
      <c r="B226" s="12"/>
      <c r="C226" t="s">
        <v>253</v>
      </c>
      <c r="D226" t="s">
        <v>243</v>
      </c>
      <c r="E226" s="6">
        <v>3195</v>
      </c>
      <c r="F226" s="4">
        <f t="shared" si="11"/>
        <v>-0.39276995305164331</v>
      </c>
      <c r="G226" s="3">
        <v>2119</v>
      </c>
      <c r="H226" s="40"/>
      <c r="I226">
        <v>12</v>
      </c>
      <c r="K226" s="12">
        <v>51</v>
      </c>
      <c r="L226">
        <v>4000</v>
      </c>
    </row>
    <row r="227" spans="1:12" x14ac:dyDescent="0.3">
      <c r="A227" s="47" t="s">
        <v>213</v>
      </c>
      <c r="B227" s="12"/>
      <c r="C227" t="s">
        <v>223</v>
      </c>
      <c r="D227" t="s">
        <v>894</v>
      </c>
      <c r="E227" s="5">
        <f t="shared" ref="E227:E239" si="12">G227*2.47</f>
        <v>12033.84</v>
      </c>
      <c r="F227" s="4">
        <f t="shared" si="11"/>
        <v>0.1497975708502024</v>
      </c>
      <c r="G227" s="3">
        <v>4872</v>
      </c>
      <c r="H227" s="14"/>
      <c r="K227">
        <v>50</v>
      </c>
      <c r="L227">
        <v>1500</v>
      </c>
    </row>
    <row r="228" spans="1:12" x14ac:dyDescent="0.3">
      <c r="A228" s="47" t="s">
        <v>213</v>
      </c>
      <c r="B228" s="12"/>
      <c r="C228" t="s">
        <v>224</v>
      </c>
      <c r="D228" t="s">
        <v>225</v>
      </c>
      <c r="E228" s="5">
        <f t="shared" si="12"/>
        <v>13844.103000000003</v>
      </c>
      <c r="F228" s="4">
        <f t="shared" si="11"/>
        <v>0.14979757085020251</v>
      </c>
      <c r="G228" s="3">
        <v>5604.9000000000005</v>
      </c>
      <c r="H228" s="14"/>
      <c r="K228">
        <v>50</v>
      </c>
      <c r="L228">
        <v>1500</v>
      </c>
    </row>
    <row r="229" spans="1:12" x14ac:dyDescent="0.3">
      <c r="A229" s="47" t="s">
        <v>213</v>
      </c>
      <c r="B229" s="12"/>
      <c r="C229" t="s">
        <v>226</v>
      </c>
      <c r="D229" t="s">
        <v>895</v>
      </c>
      <c r="E229" s="5">
        <f t="shared" si="12"/>
        <v>15301.650000000001</v>
      </c>
      <c r="F229" s="4">
        <f t="shared" si="11"/>
        <v>0.14979757085020251</v>
      </c>
      <c r="G229" s="3">
        <v>6195</v>
      </c>
      <c r="H229" s="14"/>
      <c r="K229">
        <v>90</v>
      </c>
      <c r="L229">
        <v>3000</v>
      </c>
    </row>
    <row r="230" spans="1:12" x14ac:dyDescent="0.3">
      <c r="A230" s="47" t="s">
        <v>213</v>
      </c>
      <c r="B230" s="12"/>
      <c r="C230" t="s">
        <v>227</v>
      </c>
      <c r="D230" t="s">
        <v>896</v>
      </c>
      <c r="E230" s="5">
        <f t="shared" si="12"/>
        <v>44707</v>
      </c>
      <c r="F230" s="4">
        <f t="shared" si="11"/>
        <v>0.1497975708502024</v>
      </c>
      <c r="G230" s="3">
        <v>18100</v>
      </c>
      <c r="H230" s="14"/>
      <c r="K230">
        <v>280</v>
      </c>
      <c r="L230">
        <v>8000</v>
      </c>
    </row>
    <row r="231" spans="1:12" x14ac:dyDescent="0.3">
      <c r="A231" s="47" t="s">
        <v>213</v>
      </c>
      <c r="B231" s="12"/>
      <c r="C231" t="s">
        <v>217</v>
      </c>
      <c r="D231" t="s">
        <v>893</v>
      </c>
      <c r="E231" s="5">
        <f t="shared" si="12"/>
        <v>1828.5163</v>
      </c>
      <c r="F231" s="4">
        <f t="shared" si="11"/>
        <v>0.14979757085020251</v>
      </c>
      <c r="G231" s="3">
        <v>740.29</v>
      </c>
      <c r="H231" s="14"/>
      <c r="K231">
        <v>1.45</v>
      </c>
      <c r="L231">
        <v>120</v>
      </c>
    </row>
    <row r="232" spans="1:12" x14ac:dyDescent="0.3">
      <c r="A232" s="47" t="s">
        <v>213</v>
      </c>
      <c r="B232" s="12"/>
      <c r="C232" t="s">
        <v>219</v>
      </c>
      <c r="D232" t="s">
        <v>897</v>
      </c>
      <c r="E232" s="5">
        <f t="shared" si="12"/>
        <v>4900.53928</v>
      </c>
      <c r="F232" s="4">
        <f t="shared" si="11"/>
        <v>0.14979757085020251</v>
      </c>
      <c r="G232" s="3">
        <f>1734.024+223+27</f>
        <v>1984.0239999999999</v>
      </c>
      <c r="H232" s="14"/>
      <c r="K232">
        <v>7</v>
      </c>
      <c r="L232">
        <v>550</v>
      </c>
    </row>
    <row r="233" spans="1:12" x14ac:dyDescent="0.3">
      <c r="A233" s="47" t="s">
        <v>213</v>
      </c>
      <c r="B233" s="12"/>
      <c r="C233" t="s">
        <v>221</v>
      </c>
      <c r="D233" t="s">
        <v>898</v>
      </c>
      <c r="E233" s="5">
        <f t="shared" si="12"/>
        <v>5731.5856000000003</v>
      </c>
      <c r="F233" s="4">
        <f t="shared" si="11"/>
        <v>0.14979757085020251</v>
      </c>
      <c r="G233" s="3">
        <f>2070.48+223+27</f>
        <v>2320.48</v>
      </c>
      <c r="H233" s="14"/>
      <c r="K233">
        <v>13</v>
      </c>
      <c r="L233">
        <v>550</v>
      </c>
    </row>
    <row r="234" spans="1:12" x14ac:dyDescent="0.3">
      <c r="A234" s="47" t="s">
        <v>213</v>
      </c>
      <c r="B234" s="12"/>
      <c r="C234" t="s">
        <v>222</v>
      </c>
      <c r="D234" t="s">
        <v>899</v>
      </c>
      <c r="E234" s="5">
        <f t="shared" si="12"/>
        <v>6782.3557100000007</v>
      </c>
      <c r="F234" s="4">
        <f t="shared" si="11"/>
        <v>0.1497975708502024</v>
      </c>
      <c r="G234" s="3">
        <f>2201.353+544.54</f>
        <v>2745.893</v>
      </c>
      <c r="H234" s="14"/>
      <c r="K234">
        <v>32</v>
      </c>
      <c r="L234">
        <v>1100</v>
      </c>
    </row>
    <row r="235" spans="1:12" x14ac:dyDescent="0.3">
      <c r="A235" s="47" t="s">
        <v>213</v>
      </c>
      <c r="B235" s="12"/>
      <c r="C235" t="s">
        <v>691</v>
      </c>
      <c r="D235" t="s">
        <v>214</v>
      </c>
      <c r="E235" s="5">
        <f t="shared" si="12"/>
        <v>235.76150000000001</v>
      </c>
      <c r="F235" s="4">
        <f t="shared" si="11"/>
        <v>0.1497975708502024</v>
      </c>
      <c r="G235" s="3">
        <v>95.45</v>
      </c>
      <c r="H235" s="12"/>
      <c r="K235">
        <f>0.37/2</f>
        <v>0.185</v>
      </c>
      <c r="L235">
        <v>27</v>
      </c>
    </row>
    <row r="236" spans="1:12" x14ac:dyDescent="0.3">
      <c r="A236" s="47" t="s">
        <v>213</v>
      </c>
      <c r="B236" s="12"/>
      <c r="C236" t="s">
        <v>692</v>
      </c>
      <c r="D236" t="s">
        <v>215</v>
      </c>
      <c r="E236" s="5">
        <f t="shared" si="12"/>
        <v>238.72550000000004</v>
      </c>
      <c r="F236" s="4">
        <f t="shared" si="11"/>
        <v>0.1497975708502024</v>
      </c>
      <c r="G236" s="3">
        <v>96.65</v>
      </c>
      <c r="H236" s="12"/>
      <c r="K236">
        <f>0.5/2</f>
        <v>0.25</v>
      </c>
      <c r="L236">
        <v>27</v>
      </c>
    </row>
    <row r="237" spans="1:12" x14ac:dyDescent="0.3">
      <c r="A237" s="47" t="s">
        <v>213</v>
      </c>
      <c r="B237" s="12"/>
      <c r="C237" t="s">
        <v>693</v>
      </c>
      <c r="D237" t="s">
        <v>216</v>
      </c>
      <c r="E237" s="5">
        <f t="shared" si="12"/>
        <v>360.37300000000005</v>
      </c>
      <c r="F237" s="4">
        <f t="shared" si="11"/>
        <v>0.1497975708502024</v>
      </c>
      <c r="G237" s="3">
        <v>145.9</v>
      </c>
      <c r="K237">
        <f>0.75/2</f>
        <v>0.375</v>
      </c>
      <c r="L237">
        <v>27</v>
      </c>
    </row>
    <row r="238" spans="1:12" x14ac:dyDescent="0.3">
      <c r="A238" s="47" t="s">
        <v>117</v>
      </c>
      <c r="B238" s="12"/>
      <c r="C238" t="s">
        <v>122</v>
      </c>
      <c r="D238" t="s">
        <v>123</v>
      </c>
      <c r="E238" s="3">
        <f t="shared" si="12"/>
        <v>975.65000000000009</v>
      </c>
      <c r="F238" s="4">
        <f t="shared" si="11"/>
        <v>0.14979757085020251</v>
      </c>
      <c r="G238" s="3">
        <v>395</v>
      </c>
    </row>
    <row r="239" spans="1:12" x14ac:dyDescent="0.3">
      <c r="A239" s="47" t="s">
        <v>117</v>
      </c>
      <c r="B239" s="12"/>
      <c r="C239" t="s">
        <v>124</v>
      </c>
      <c r="D239" t="s">
        <v>125</v>
      </c>
      <c r="E239" s="3">
        <f t="shared" si="12"/>
        <v>1492.8136600000003</v>
      </c>
      <c r="F239" s="4">
        <f t="shared" si="11"/>
        <v>0.1497975708502024</v>
      </c>
      <c r="G239" s="3">
        <v>604.37800000000004</v>
      </c>
      <c r="K239" s="12"/>
    </row>
    <row r="240" spans="1:12" x14ac:dyDescent="0.3">
      <c r="A240" s="47" t="s">
        <v>117</v>
      </c>
      <c r="B240" s="12"/>
      <c r="C240" t="s">
        <v>126</v>
      </c>
      <c r="D240" t="s">
        <v>127</v>
      </c>
      <c r="E240" s="3">
        <f>+G240*2.47</f>
        <v>1148.5500000000002</v>
      </c>
      <c r="F240" s="4">
        <f t="shared" si="11"/>
        <v>0.14979757085020251</v>
      </c>
      <c r="G240" s="3">
        <v>465</v>
      </c>
      <c r="K240" s="12"/>
    </row>
    <row r="241" spans="1:11" x14ac:dyDescent="0.3">
      <c r="A241" s="47" t="s">
        <v>117</v>
      </c>
      <c r="B241" s="12"/>
      <c r="C241" t="s">
        <v>118</v>
      </c>
      <c r="D241" t="s">
        <v>119</v>
      </c>
      <c r="E241" s="3">
        <f>G241*2.47</f>
        <v>2062.3759000000005</v>
      </c>
      <c r="F241" s="4">
        <f t="shared" si="11"/>
        <v>0.14979757085020251</v>
      </c>
      <c r="G241" s="3">
        <v>834.97</v>
      </c>
      <c r="K241" s="12"/>
    </row>
    <row r="242" spans="1:11" x14ac:dyDescent="0.3">
      <c r="A242" s="47" t="s">
        <v>117</v>
      </c>
      <c r="B242" s="12"/>
      <c r="C242" t="s">
        <v>120</v>
      </c>
      <c r="D242" t="s">
        <v>121</v>
      </c>
      <c r="E242" s="3">
        <f>G242*2.47</f>
        <v>3038.0259000000001</v>
      </c>
      <c r="F242" s="13">
        <f t="shared" si="11"/>
        <v>0.14979757085020229</v>
      </c>
      <c r="G242" s="3">
        <v>1229.97</v>
      </c>
      <c r="K242" s="12"/>
    </row>
    <row r="243" spans="1:11" x14ac:dyDescent="0.3">
      <c r="A243" s="47" t="s">
        <v>117</v>
      </c>
      <c r="B243" s="12"/>
      <c r="C243" t="s">
        <v>681</v>
      </c>
      <c r="D243" t="s">
        <v>682</v>
      </c>
      <c r="E243" s="3">
        <f>+G243*2.47</f>
        <v>2346.5</v>
      </c>
      <c r="F243" s="4">
        <f t="shared" si="11"/>
        <v>0.1497975708502024</v>
      </c>
      <c r="G243" s="3">
        <v>950</v>
      </c>
    </row>
    <row r="244" spans="1:11" x14ac:dyDescent="0.3">
      <c r="A244" s="47" t="s">
        <v>117</v>
      </c>
      <c r="B244" s="12"/>
      <c r="C244" t="s">
        <v>689</v>
      </c>
      <c r="D244" t="s">
        <v>128</v>
      </c>
      <c r="E244" s="3">
        <f>+G244*2.47</f>
        <v>988.00000000000011</v>
      </c>
      <c r="F244" s="4">
        <v>0.15</v>
      </c>
      <c r="G244" s="3">
        <v>400</v>
      </c>
    </row>
    <row r="245" spans="1:11" x14ac:dyDescent="0.3">
      <c r="A245" s="47" t="s">
        <v>780</v>
      </c>
      <c r="B245" s="12"/>
      <c r="C245" t="s">
        <v>690</v>
      </c>
      <c r="D245" t="s">
        <v>210</v>
      </c>
      <c r="E245" s="3">
        <f>+G245*2.47</f>
        <v>286.52000000000004</v>
      </c>
      <c r="F245" s="4">
        <f t="shared" ref="F245:F276" si="13">1-G245*2.1/E245</f>
        <v>0.14979757085020251</v>
      </c>
      <c r="G245" s="3">
        <v>116</v>
      </c>
    </row>
    <row r="246" spans="1:11" x14ac:dyDescent="0.3">
      <c r="A246" s="47" t="s">
        <v>780</v>
      </c>
      <c r="B246" s="12"/>
      <c r="C246" t="s">
        <v>211</v>
      </c>
      <c r="D246" t="s">
        <v>212</v>
      </c>
      <c r="E246" s="3">
        <f>20*2.1/0.85</f>
        <v>49.411764705882355</v>
      </c>
      <c r="F246" s="13">
        <f t="shared" si="13"/>
        <v>0.15000000000000002</v>
      </c>
      <c r="G246" s="3">
        <v>20</v>
      </c>
      <c r="H246" s="40"/>
    </row>
    <row r="247" spans="1:11" x14ac:dyDescent="0.3">
      <c r="A247" s="47" t="s">
        <v>780</v>
      </c>
      <c r="B247" s="12"/>
      <c r="C247" t="s">
        <v>163</v>
      </c>
      <c r="D247" t="s">
        <v>916</v>
      </c>
      <c r="E247" s="5">
        <f t="shared" ref="E247:E255" si="14">G247*2.47</f>
        <v>613.94320000000005</v>
      </c>
      <c r="F247" s="13">
        <f t="shared" si="13"/>
        <v>0.14979757085020251</v>
      </c>
      <c r="G247" s="3">
        <v>248.56</v>
      </c>
      <c r="H247" s="40"/>
    </row>
    <row r="248" spans="1:11" x14ac:dyDescent="0.3">
      <c r="A248" s="47" t="s">
        <v>780</v>
      </c>
      <c r="B248" s="12"/>
      <c r="C248" t="s">
        <v>165</v>
      </c>
      <c r="D248" t="s">
        <v>917</v>
      </c>
      <c r="E248" s="5">
        <f t="shared" si="14"/>
        <v>705.8519</v>
      </c>
      <c r="F248" s="13">
        <f t="shared" si="13"/>
        <v>0.14979757085020251</v>
      </c>
      <c r="G248" s="3">
        <v>285.77</v>
      </c>
      <c r="H248" s="40"/>
    </row>
    <row r="249" spans="1:11" x14ac:dyDescent="0.3">
      <c r="A249" s="47" t="s">
        <v>780</v>
      </c>
      <c r="B249" s="12"/>
      <c r="C249" t="s">
        <v>192</v>
      </c>
      <c r="D249" t="s">
        <v>193</v>
      </c>
      <c r="E249" s="3">
        <f t="shared" si="14"/>
        <v>130.66300000000001</v>
      </c>
      <c r="F249" s="13">
        <f t="shared" si="13"/>
        <v>0.14979757085020251</v>
      </c>
      <c r="G249" s="3">
        <v>52.9</v>
      </c>
      <c r="H249" s="40"/>
    </row>
    <row r="250" spans="1:11" x14ac:dyDescent="0.3">
      <c r="A250" s="47" t="s">
        <v>780</v>
      </c>
      <c r="B250" s="12"/>
      <c r="C250" t="s">
        <v>190</v>
      </c>
      <c r="D250" t="s">
        <v>191</v>
      </c>
      <c r="E250" s="3">
        <f t="shared" si="14"/>
        <v>130.66300000000001</v>
      </c>
      <c r="F250" s="13">
        <f t="shared" si="13"/>
        <v>0.14979757085020251</v>
      </c>
      <c r="G250" s="3">
        <v>52.9</v>
      </c>
      <c r="H250" s="40"/>
    </row>
    <row r="251" spans="1:11" x14ac:dyDescent="0.3">
      <c r="A251" s="47" t="s">
        <v>780</v>
      </c>
      <c r="B251" s="12"/>
      <c r="C251" t="s">
        <v>188</v>
      </c>
      <c r="D251" t="s">
        <v>189</v>
      </c>
      <c r="E251" s="3">
        <f t="shared" si="14"/>
        <v>130.66300000000001</v>
      </c>
      <c r="F251" s="13">
        <f t="shared" si="13"/>
        <v>0.14979757085020251</v>
      </c>
      <c r="G251" s="3">
        <v>52.9</v>
      </c>
      <c r="H251" s="40"/>
    </row>
    <row r="252" spans="1:11" x14ac:dyDescent="0.3">
      <c r="A252" s="47" t="s">
        <v>780</v>
      </c>
      <c r="B252" s="12"/>
      <c r="C252" t="s">
        <v>186</v>
      </c>
      <c r="D252" t="s">
        <v>187</v>
      </c>
      <c r="E252" s="3">
        <f t="shared" si="14"/>
        <v>130.66300000000001</v>
      </c>
      <c r="F252" s="13">
        <f t="shared" si="13"/>
        <v>0.14979757085020251</v>
      </c>
      <c r="G252" s="3">
        <v>52.9</v>
      </c>
      <c r="H252" s="40"/>
    </row>
    <row r="253" spans="1:11" x14ac:dyDescent="0.3">
      <c r="A253" s="47" t="s">
        <v>780</v>
      </c>
      <c r="B253" s="12"/>
      <c r="C253" t="s">
        <v>184</v>
      </c>
      <c r="D253" t="s">
        <v>185</v>
      </c>
      <c r="E253" s="3">
        <f t="shared" si="14"/>
        <v>130.66300000000001</v>
      </c>
      <c r="F253" s="4">
        <f t="shared" si="13"/>
        <v>0.14979757085020251</v>
      </c>
      <c r="G253" s="3">
        <v>52.9</v>
      </c>
      <c r="H253" s="40"/>
      <c r="K253" s="12"/>
    </row>
    <row r="254" spans="1:11" x14ac:dyDescent="0.3">
      <c r="A254" s="47" t="s">
        <v>780</v>
      </c>
      <c r="B254" s="12"/>
      <c r="C254" t="s">
        <v>182</v>
      </c>
      <c r="D254" t="s">
        <v>183</v>
      </c>
      <c r="E254" s="3">
        <f t="shared" si="14"/>
        <v>130.66300000000001</v>
      </c>
      <c r="F254" s="4">
        <f t="shared" si="13"/>
        <v>0.14979757085020251</v>
      </c>
      <c r="G254" s="3">
        <v>52.9</v>
      </c>
      <c r="H254" s="40"/>
      <c r="K254" s="12"/>
    </row>
    <row r="255" spans="1:11" x14ac:dyDescent="0.3">
      <c r="A255" s="47" t="s">
        <v>780</v>
      </c>
      <c r="B255" s="12"/>
      <c r="C255" t="s">
        <v>180</v>
      </c>
      <c r="D255" t="s">
        <v>181</v>
      </c>
      <c r="E255" s="3">
        <f t="shared" si="14"/>
        <v>130.66300000000001</v>
      </c>
      <c r="F255" s="4">
        <f t="shared" si="13"/>
        <v>0.14979757085020251</v>
      </c>
      <c r="G255" s="3">
        <v>52.9</v>
      </c>
      <c r="H255" s="12"/>
      <c r="K255" s="12"/>
    </row>
    <row r="256" spans="1:11" x14ac:dyDescent="0.3">
      <c r="A256" s="47" t="s">
        <v>780</v>
      </c>
      <c r="B256" s="12"/>
      <c r="C256" t="s">
        <v>176</v>
      </c>
      <c r="D256" t="s">
        <v>177</v>
      </c>
      <c r="E256" s="6">
        <v>763.07</v>
      </c>
      <c r="F256" s="4">
        <f t="shared" si="13"/>
        <v>-5.0013760205485758E-2</v>
      </c>
      <c r="G256" s="3">
        <v>381.54</v>
      </c>
      <c r="H256" s="12"/>
    </row>
    <row r="257" spans="1:17" x14ac:dyDescent="0.3">
      <c r="A257" s="47" t="s">
        <v>780</v>
      </c>
      <c r="B257" s="12"/>
      <c r="C257" t="s">
        <v>178</v>
      </c>
      <c r="D257" t="s">
        <v>179</v>
      </c>
      <c r="E257" s="6">
        <v>1053.3399999999999</v>
      </c>
      <c r="F257" s="4">
        <f t="shared" si="13"/>
        <v>-5.0000000000000044E-2</v>
      </c>
      <c r="G257" s="3">
        <v>526.66999999999996</v>
      </c>
      <c r="H257" s="12"/>
    </row>
    <row r="258" spans="1:17" x14ac:dyDescent="0.3">
      <c r="A258" s="47" t="s">
        <v>780</v>
      </c>
      <c r="B258" s="12"/>
      <c r="C258" t="s">
        <v>208</v>
      </c>
      <c r="D258" t="s">
        <v>209</v>
      </c>
      <c r="E258" s="3">
        <f>G258*2.47</f>
        <v>48.165000000000006</v>
      </c>
      <c r="F258" s="4">
        <f t="shared" si="13"/>
        <v>0.14979757085020251</v>
      </c>
      <c r="G258" s="3">
        <v>19.5</v>
      </c>
      <c r="H258" s="12"/>
    </row>
    <row r="259" spans="1:17" x14ac:dyDescent="0.3">
      <c r="A259" s="47" t="s">
        <v>780</v>
      </c>
      <c r="B259" s="12"/>
      <c r="C259" t="s">
        <v>686</v>
      </c>
      <c r="D259" t="s">
        <v>688</v>
      </c>
      <c r="E259" s="3">
        <f>+G259*2.47</f>
        <v>247.00000000000003</v>
      </c>
      <c r="F259" s="4">
        <f t="shared" si="13"/>
        <v>0.14979757085020251</v>
      </c>
      <c r="G259" s="3">
        <v>100</v>
      </c>
      <c r="H259" s="12"/>
    </row>
    <row r="260" spans="1:17" x14ac:dyDescent="0.3">
      <c r="A260" s="47" t="s">
        <v>780</v>
      </c>
      <c r="B260" s="12"/>
      <c r="C260" t="s">
        <v>872</v>
      </c>
      <c r="D260" t="s">
        <v>873</v>
      </c>
      <c r="E260" s="3">
        <f>Tabella52[[#This Row],[Imponibile]]*2.47</f>
        <v>716.30000000000007</v>
      </c>
      <c r="F260" s="4">
        <f t="shared" si="13"/>
        <v>0.14979757085020251</v>
      </c>
      <c r="G260" s="3">
        <v>290</v>
      </c>
      <c r="H260" s="12"/>
    </row>
    <row r="261" spans="1:17" x14ac:dyDescent="0.3">
      <c r="A261" s="47" t="s">
        <v>780</v>
      </c>
      <c r="B261" s="12"/>
      <c r="C261" t="s">
        <v>687</v>
      </c>
      <c r="D261" t="s">
        <v>683</v>
      </c>
      <c r="E261" s="3">
        <f>+G261*2.47</f>
        <v>370.50000000000006</v>
      </c>
      <c r="F261" s="4">
        <f t="shared" si="13"/>
        <v>0.14979757085020251</v>
      </c>
      <c r="G261" s="3">
        <v>150</v>
      </c>
      <c r="H261" s="12"/>
    </row>
    <row r="262" spans="1:17" x14ac:dyDescent="0.3">
      <c r="A262" s="47" t="s">
        <v>780</v>
      </c>
      <c r="B262" s="12"/>
      <c r="C262" t="s">
        <v>684</v>
      </c>
      <c r="D262" t="s">
        <v>685</v>
      </c>
      <c r="E262" s="3">
        <f>+G262*2.47</f>
        <v>247.00000000000003</v>
      </c>
      <c r="F262" s="4">
        <f t="shared" si="13"/>
        <v>0.14979757085020251</v>
      </c>
      <c r="G262" s="3">
        <v>100</v>
      </c>
      <c r="H262" s="12"/>
    </row>
    <row r="263" spans="1:17" x14ac:dyDescent="0.3">
      <c r="A263" s="47" t="s">
        <v>780</v>
      </c>
      <c r="B263" s="12"/>
      <c r="C263" t="s">
        <v>202</v>
      </c>
      <c r="D263" t="s">
        <v>203</v>
      </c>
      <c r="E263" s="3">
        <f>G263*2.47</f>
        <v>1154.7250000000001</v>
      </c>
      <c r="F263" s="4">
        <f t="shared" si="13"/>
        <v>0.1497975708502024</v>
      </c>
      <c r="G263" s="3">
        <f>(595+209+46)*0.55</f>
        <v>467.50000000000006</v>
      </c>
      <c r="H263" s="12"/>
    </row>
    <row r="264" spans="1:17" x14ac:dyDescent="0.3">
      <c r="A264" s="47" t="s">
        <v>780</v>
      </c>
      <c r="B264" s="12"/>
      <c r="C264" t="s">
        <v>194</v>
      </c>
      <c r="D264" t="s">
        <v>195</v>
      </c>
      <c r="E264" s="3">
        <f>G264*2.47</f>
        <v>1052.8375000000001</v>
      </c>
      <c r="F264" s="4">
        <f t="shared" si="13"/>
        <v>0.14979757085020251</v>
      </c>
      <c r="G264" s="3">
        <v>426.25</v>
      </c>
      <c r="H264" s="12"/>
    </row>
    <row r="265" spans="1:17" x14ac:dyDescent="0.3">
      <c r="A265" s="47" t="s">
        <v>780</v>
      </c>
      <c r="B265" s="12"/>
      <c r="C265" t="s">
        <v>200</v>
      </c>
      <c r="D265" t="s">
        <v>201</v>
      </c>
      <c r="E265" s="3">
        <f>G265*2.47</f>
        <v>1020.2335000000002</v>
      </c>
      <c r="F265" s="4">
        <f t="shared" si="13"/>
        <v>0.14979757085020251</v>
      </c>
      <c r="G265" s="3">
        <v>413.05</v>
      </c>
      <c r="H265" s="12"/>
    </row>
    <row r="266" spans="1:17" x14ac:dyDescent="0.3">
      <c r="A266" s="47" t="s">
        <v>780</v>
      </c>
      <c r="B266" s="12"/>
      <c r="C266" t="s">
        <v>196</v>
      </c>
      <c r="D266" t="s">
        <v>197</v>
      </c>
      <c r="E266" s="3">
        <f>G266*2.47</f>
        <v>1122.1210000000001</v>
      </c>
      <c r="F266" s="4">
        <f t="shared" si="13"/>
        <v>0.1497975708502024</v>
      </c>
      <c r="G266" s="3">
        <v>454.3</v>
      </c>
      <c r="H266" s="12"/>
    </row>
    <row r="267" spans="1:17" x14ac:dyDescent="0.3">
      <c r="A267" s="47" t="s">
        <v>780</v>
      </c>
      <c r="B267" s="12"/>
      <c r="C267" t="s">
        <v>198</v>
      </c>
      <c r="D267" t="s">
        <v>199</v>
      </c>
      <c r="E267" s="3">
        <f>G267*2.47</f>
        <v>2025.4</v>
      </c>
      <c r="F267" s="4">
        <f t="shared" si="13"/>
        <v>0.14979757085020251</v>
      </c>
      <c r="G267" s="3">
        <v>820</v>
      </c>
      <c r="H267" s="12"/>
    </row>
    <row r="268" spans="1:17" x14ac:dyDescent="0.3">
      <c r="A268" s="47" t="s">
        <v>780</v>
      </c>
      <c r="B268" s="12"/>
      <c r="C268" t="s">
        <v>204</v>
      </c>
      <c r="D268" t="s">
        <v>205</v>
      </c>
      <c r="E268" s="3">
        <f>+(1500)*0.55*2.47</f>
        <v>2037.7500000000005</v>
      </c>
      <c r="F268" s="4">
        <f t="shared" si="13"/>
        <v>0.14979757085020251</v>
      </c>
      <c r="G268" s="3">
        <f>1500*0.55</f>
        <v>825.00000000000011</v>
      </c>
      <c r="H268" s="12"/>
    </row>
    <row r="269" spans="1:17" x14ac:dyDescent="0.3">
      <c r="A269" s="47" t="s">
        <v>780</v>
      </c>
      <c r="B269" s="12"/>
      <c r="C269" t="s">
        <v>206</v>
      </c>
      <c r="D269" t="s">
        <v>207</v>
      </c>
      <c r="E269" s="3">
        <f>+(1500+233)*0.55*2.47</f>
        <v>2354.2805000000003</v>
      </c>
      <c r="F269" s="4">
        <f t="shared" si="13"/>
        <v>0.1497975708502024</v>
      </c>
      <c r="G269" s="3">
        <f>+(1500+233)*0.55</f>
        <v>953.15000000000009</v>
      </c>
      <c r="H269" s="12"/>
    </row>
    <row r="270" spans="1:17" x14ac:dyDescent="0.3">
      <c r="A270" s="47" t="s">
        <v>596</v>
      </c>
      <c r="B270" s="12"/>
      <c r="C270" t="s">
        <v>597</v>
      </c>
      <c r="D270" t="s">
        <v>598</v>
      </c>
      <c r="E270" s="6">
        <v>20</v>
      </c>
      <c r="F270" s="4">
        <f t="shared" si="13"/>
        <v>0.53799999999999992</v>
      </c>
      <c r="G270" s="3">
        <v>4.4000000000000004</v>
      </c>
      <c r="H270" s="12"/>
      <c r="K270">
        <v>1.25</v>
      </c>
    </row>
    <row r="271" spans="1:17" x14ac:dyDescent="0.3">
      <c r="A271" s="47" t="s">
        <v>596</v>
      </c>
      <c r="B271" s="12"/>
      <c r="C271" t="s">
        <v>599</v>
      </c>
      <c r="D271" t="s">
        <v>600</v>
      </c>
      <c r="E271" s="6">
        <v>2.4</v>
      </c>
      <c r="F271" s="4">
        <f t="shared" si="13"/>
        <v>0.15125</v>
      </c>
      <c r="G271" s="3">
        <v>0.97</v>
      </c>
      <c r="K271">
        <v>1.25</v>
      </c>
    </row>
    <row r="272" spans="1:17" x14ac:dyDescent="0.3">
      <c r="A272" s="47" t="s">
        <v>552</v>
      </c>
      <c r="B272" s="12"/>
      <c r="C272" t="s">
        <v>572</v>
      </c>
      <c r="D272" t="s">
        <v>554</v>
      </c>
      <c r="E272" s="6">
        <v>317.58999999999997</v>
      </c>
      <c r="F272" s="4">
        <f t="shared" si="13"/>
        <v>-5.0000000000000044E-2</v>
      </c>
      <c r="G272" s="3">
        <f t="shared" ref="G272:G282" si="15">E272*0.5</f>
        <v>158.79499999999999</v>
      </c>
      <c r="N272">
        <v>300</v>
      </c>
      <c r="Q272" t="s">
        <v>573</v>
      </c>
    </row>
    <row r="273" spans="1:17" x14ac:dyDescent="0.3">
      <c r="A273" s="47" t="s">
        <v>552</v>
      </c>
      <c r="B273" s="12"/>
      <c r="C273" t="s">
        <v>574</v>
      </c>
      <c r="D273" t="s">
        <v>554</v>
      </c>
      <c r="E273" s="6">
        <v>413.28</v>
      </c>
      <c r="F273" s="4">
        <f t="shared" si="13"/>
        <v>-5.0000000000000044E-2</v>
      </c>
      <c r="G273" s="3">
        <f t="shared" si="15"/>
        <v>206.64</v>
      </c>
      <c r="N273">
        <v>500</v>
      </c>
      <c r="Q273" t="s">
        <v>575</v>
      </c>
    </row>
    <row r="274" spans="1:17" x14ac:dyDescent="0.3">
      <c r="A274" s="47" t="s">
        <v>552</v>
      </c>
      <c r="B274" s="12"/>
      <c r="C274" t="s">
        <v>553</v>
      </c>
      <c r="D274" t="s">
        <v>554</v>
      </c>
      <c r="E274" s="6">
        <v>126.17</v>
      </c>
      <c r="F274" s="4">
        <f t="shared" si="13"/>
        <v>-5.0000000000000044E-2</v>
      </c>
      <c r="G274" s="3">
        <f t="shared" si="15"/>
        <v>63.085000000000001</v>
      </c>
      <c r="N274">
        <v>100</v>
      </c>
      <c r="Q274" t="s">
        <v>555</v>
      </c>
    </row>
    <row r="275" spans="1:17" x14ac:dyDescent="0.3">
      <c r="A275" s="47" t="s">
        <v>552</v>
      </c>
      <c r="B275" s="12"/>
      <c r="C275" t="s">
        <v>566</v>
      </c>
      <c r="D275" t="s">
        <v>554</v>
      </c>
      <c r="E275" s="6">
        <v>3166.95</v>
      </c>
      <c r="F275" s="4">
        <f t="shared" si="13"/>
        <v>-5.0000000000000044E-2</v>
      </c>
      <c r="G275" s="3">
        <f t="shared" si="15"/>
        <v>1583.4749999999999</v>
      </c>
      <c r="N275">
        <v>10000</v>
      </c>
      <c r="Q275" t="s">
        <v>567</v>
      </c>
    </row>
    <row r="276" spans="1:17" x14ac:dyDescent="0.3">
      <c r="A276" s="47" t="s">
        <v>552</v>
      </c>
      <c r="B276" s="12"/>
      <c r="C276" t="s">
        <v>568</v>
      </c>
      <c r="D276" t="s">
        <v>554</v>
      </c>
      <c r="E276" s="6">
        <v>6316.84</v>
      </c>
      <c r="F276" s="13">
        <f t="shared" si="13"/>
        <v>-5.0000000000000044E-2</v>
      </c>
      <c r="G276" s="3">
        <f t="shared" si="15"/>
        <v>3158.42</v>
      </c>
      <c r="H276" s="12"/>
      <c r="N276">
        <v>16000</v>
      </c>
      <c r="Q276" t="s">
        <v>569</v>
      </c>
    </row>
    <row r="277" spans="1:17" x14ac:dyDescent="0.3">
      <c r="A277" s="47" t="s">
        <v>552</v>
      </c>
      <c r="B277" s="12"/>
      <c r="C277" t="s">
        <v>556</v>
      </c>
      <c r="D277" t="s">
        <v>554</v>
      </c>
      <c r="E277" s="6">
        <v>142.69999999999999</v>
      </c>
      <c r="F277" s="13">
        <f t="shared" ref="F277:F308" si="16">1-G277*2.1/E277</f>
        <v>-5.0000000000000044E-2</v>
      </c>
      <c r="G277" s="3">
        <f t="shared" si="15"/>
        <v>71.349999999999994</v>
      </c>
      <c r="H277" s="12"/>
      <c r="N277">
        <v>200</v>
      </c>
      <c r="Q277" t="s">
        <v>557</v>
      </c>
    </row>
    <row r="278" spans="1:17" x14ac:dyDescent="0.3">
      <c r="A278" s="47" t="s">
        <v>552</v>
      </c>
      <c r="B278" s="12"/>
      <c r="C278" t="s">
        <v>558</v>
      </c>
      <c r="D278" t="s">
        <v>554</v>
      </c>
      <c r="E278" s="6">
        <v>156.61000000000001</v>
      </c>
      <c r="F278" s="13">
        <f t="shared" si="16"/>
        <v>-5.0000000000000044E-2</v>
      </c>
      <c r="G278" s="3">
        <f t="shared" si="15"/>
        <v>78.305000000000007</v>
      </c>
      <c r="H278" s="40"/>
      <c r="N278">
        <v>300</v>
      </c>
      <c r="Q278" t="s">
        <v>559</v>
      </c>
    </row>
    <row r="279" spans="1:17" x14ac:dyDescent="0.3">
      <c r="A279" s="47" t="s">
        <v>552</v>
      </c>
      <c r="B279" s="12"/>
      <c r="C279" t="s">
        <v>570</v>
      </c>
      <c r="D279" t="s">
        <v>554</v>
      </c>
      <c r="E279" s="6">
        <v>227.98</v>
      </c>
      <c r="F279" s="13">
        <f t="shared" si="16"/>
        <v>-5.0000000000000044E-2</v>
      </c>
      <c r="G279" s="3">
        <f t="shared" si="15"/>
        <v>113.99</v>
      </c>
      <c r="H279" s="40"/>
      <c r="N279">
        <v>300</v>
      </c>
      <c r="Q279" t="s">
        <v>571</v>
      </c>
    </row>
    <row r="280" spans="1:17" x14ac:dyDescent="0.3">
      <c r="A280" s="47" t="s">
        <v>552</v>
      </c>
      <c r="B280" s="12"/>
      <c r="C280" t="s">
        <v>560</v>
      </c>
      <c r="D280" t="s">
        <v>554</v>
      </c>
      <c r="E280" s="6">
        <v>609.07000000000005</v>
      </c>
      <c r="F280" s="13">
        <f t="shared" si="16"/>
        <v>-5.0000000000000044E-2</v>
      </c>
      <c r="G280" s="3">
        <f t="shared" si="15"/>
        <v>304.53500000000003</v>
      </c>
      <c r="H280" s="40"/>
      <c r="N280">
        <v>3000</v>
      </c>
      <c r="Q280" t="s">
        <v>561</v>
      </c>
    </row>
    <row r="281" spans="1:17" x14ac:dyDescent="0.3">
      <c r="A281" s="47" t="s">
        <v>552</v>
      </c>
      <c r="B281" s="12"/>
      <c r="C281" t="s">
        <v>562</v>
      </c>
      <c r="D281" t="s">
        <v>554</v>
      </c>
      <c r="E281" s="6">
        <v>870.08</v>
      </c>
      <c r="F281" s="13">
        <f t="shared" si="16"/>
        <v>-5.0000000000000044E-2</v>
      </c>
      <c r="G281" s="3">
        <f t="shared" si="15"/>
        <v>435.04</v>
      </c>
      <c r="H281" s="40"/>
      <c r="N281">
        <v>4000</v>
      </c>
      <c r="Q281" t="s">
        <v>563</v>
      </c>
    </row>
    <row r="282" spans="1:17" x14ac:dyDescent="0.3">
      <c r="A282" s="47" t="s">
        <v>552</v>
      </c>
      <c r="B282" s="12"/>
      <c r="C282" t="s">
        <v>564</v>
      </c>
      <c r="D282" t="s">
        <v>554</v>
      </c>
      <c r="E282" s="6">
        <v>1111.3499999999999</v>
      </c>
      <c r="F282" s="4">
        <f t="shared" si="16"/>
        <v>-5.0000000000000044E-2</v>
      </c>
      <c r="G282" s="3">
        <f t="shared" si="15"/>
        <v>555.67499999999995</v>
      </c>
      <c r="N282">
        <v>5000</v>
      </c>
      <c r="Q282" t="s">
        <v>565</v>
      </c>
    </row>
    <row r="283" spans="1:17" x14ac:dyDescent="0.3">
      <c r="A283" s="47" t="s">
        <v>767</v>
      </c>
      <c r="B283" s="12"/>
      <c r="C283" t="s">
        <v>768</v>
      </c>
      <c r="D283" t="s">
        <v>769</v>
      </c>
      <c r="E283" s="3">
        <f>G283*2.47</f>
        <v>6563.0765200000005</v>
      </c>
      <c r="F283" s="4">
        <f t="shared" si="16"/>
        <v>0.1497975708502024</v>
      </c>
      <c r="G283" s="3">
        <v>2657.116</v>
      </c>
    </row>
    <row r="284" spans="1:17" x14ac:dyDescent="0.3">
      <c r="A284" s="47" t="s">
        <v>767</v>
      </c>
      <c r="B284" s="12"/>
      <c r="C284" t="s">
        <v>775</v>
      </c>
      <c r="D284" t="s">
        <v>770</v>
      </c>
      <c r="E284" s="3">
        <f>G284*2.47</f>
        <v>7068.7843200000007</v>
      </c>
      <c r="F284" s="4">
        <f t="shared" si="16"/>
        <v>0.1497975708502024</v>
      </c>
      <c r="G284" s="3">
        <v>2861.8560000000002</v>
      </c>
    </row>
    <row r="285" spans="1:17" x14ac:dyDescent="0.3">
      <c r="A285" s="47" t="s">
        <v>767</v>
      </c>
      <c r="B285" s="12"/>
      <c r="C285" t="s">
        <v>774</v>
      </c>
      <c r="D285" t="s">
        <v>772</v>
      </c>
      <c r="E285" s="3">
        <f>G285*2.47</f>
        <v>8385.7982000000011</v>
      </c>
      <c r="F285" s="4">
        <f t="shared" si="16"/>
        <v>0.14979757085020251</v>
      </c>
      <c r="G285" s="3">
        <v>3395.06</v>
      </c>
    </row>
    <row r="286" spans="1:17" x14ac:dyDescent="0.3">
      <c r="A286" s="47" t="s">
        <v>767</v>
      </c>
      <c r="B286" s="12"/>
      <c r="C286" t="s">
        <v>773</v>
      </c>
      <c r="D286" t="s">
        <v>771</v>
      </c>
      <c r="E286" s="3">
        <f>G286*2.47</f>
        <v>8891.50353</v>
      </c>
      <c r="F286" s="4">
        <f t="shared" si="16"/>
        <v>0.1497975708502024</v>
      </c>
      <c r="G286" s="3">
        <v>3599.799</v>
      </c>
    </row>
    <row r="287" spans="1:17" s="14" customFormat="1" x14ac:dyDescent="0.3">
      <c r="A287" s="61" t="s">
        <v>17</v>
      </c>
      <c r="C287" s="14" t="s">
        <v>46</v>
      </c>
      <c r="D287" s="14" t="s">
        <v>47</v>
      </c>
      <c r="E287" s="62">
        <v>7400</v>
      </c>
      <c r="F287" s="10">
        <f t="shared" si="16"/>
        <v>0.20540540540540542</v>
      </c>
      <c r="G287" s="63">
        <v>2800</v>
      </c>
      <c r="H287" s="14">
        <v>2</v>
      </c>
      <c r="K287" s="14">
        <v>60</v>
      </c>
      <c r="L287" s="14">
        <v>440</v>
      </c>
    </row>
    <row r="288" spans="1:17" x14ac:dyDescent="0.3">
      <c r="A288" s="47" t="s">
        <v>17</v>
      </c>
      <c r="B288" s="12"/>
      <c r="C288" t="s">
        <v>48</v>
      </c>
      <c r="D288" t="s">
        <v>49</v>
      </c>
      <c r="E288" s="6">
        <v>12000</v>
      </c>
      <c r="F288" s="4">
        <f t="shared" si="16"/>
        <v>9.709274999999995E-2</v>
      </c>
      <c r="G288" s="3">
        <v>5159.47</v>
      </c>
      <c r="H288">
        <v>2</v>
      </c>
      <c r="K288">
        <v>110</v>
      </c>
      <c r="L288">
        <v>880</v>
      </c>
    </row>
    <row r="289" spans="1:18" x14ac:dyDescent="0.3">
      <c r="A289" s="47" t="s">
        <v>17</v>
      </c>
      <c r="B289" s="12"/>
      <c r="C289" t="s">
        <v>50</v>
      </c>
      <c r="D289" t="s">
        <v>51</v>
      </c>
      <c r="E289" s="6">
        <v>15000</v>
      </c>
      <c r="F289" s="4">
        <f t="shared" si="16"/>
        <v>9.7088200000000069E-2</v>
      </c>
      <c r="G289" s="3">
        <v>6449.37</v>
      </c>
      <c r="H289">
        <v>3</v>
      </c>
      <c r="K289">
        <v>150</v>
      </c>
      <c r="L289">
        <v>1300</v>
      </c>
    </row>
    <row r="290" spans="1:18" x14ac:dyDescent="0.3">
      <c r="A290" s="47" t="s">
        <v>17</v>
      </c>
      <c r="B290" s="12"/>
      <c r="C290" t="s">
        <v>52</v>
      </c>
      <c r="D290" t="s">
        <v>53</v>
      </c>
      <c r="E290" s="6">
        <v>18260</v>
      </c>
      <c r="F290" s="4">
        <f t="shared" si="16"/>
        <v>9.7092004381160835E-2</v>
      </c>
      <c r="G290" s="3">
        <v>7851</v>
      </c>
      <c r="H290" s="12">
        <v>4</v>
      </c>
      <c r="K290">
        <v>250</v>
      </c>
      <c r="L290">
        <v>1760</v>
      </c>
    </row>
    <row r="291" spans="1:18" s="14" customFormat="1" x14ac:dyDescent="0.3">
      <c r="A291" s="61" t="s">
        <v>17</v>
      </c>
      <c r="C291" s="14" t="s">
        <v>54</v>
      </c>
      <c r="D291" s="14" t="s">
        <v>55</v>
      </c>
      <c r="E291" s="62">
        <v>20900</v>
      </c>
      <c r="F291" s="10">
        <f t="shared" si="16"/>
        <v>9.6698564593301395E-2</v>
      </c>
      <c r="G291" s="63">
        <v>8990</v>
      </c>
      <c r="H291" s="14">
        <v>5</v>
      </c>
      <c r="K291" s="14">
        <v>340</v>
      </c>
      <c r="L291" s="14">
        <v>2180</v>
      </c>
    </row>
    <row r="292" spans="1:18" x14ac:dyDescent="0.3">
      <c r="A292" s="47" t="s">
        <v>17</v>
      </c>
      <c r="B292" s="12"/>
      <c r="C292" t="s">
        <v>56</v>
      </c>
      <c r="D292" t="s">
        <v>57</v>
      </c>
      <c r="E292" s="6">
        <v>26400</v>
      </c>
      <c r="F292" s="4">
        <f t="shared" si="16"/>
        <v>0</v>
      </c>
      <c r="G292" s="3">
        <v>12571.428571428571</v>
      </c>
      <c r="H292" s="12">
        <v>7</v>
      </c>
      <c r="K292">
        <v>470</v>
      </c>
      <c r="L292">
        <v>3100</v>
      </c>
      <c r="N292" s="12"/>
      <c r="O292" s="12"/>
      <c r="P292" s="12"/>
      <c r="Q292" s="12"/>
    </row>
    <row r="293" spans="1:18" x14ac:dyDescent="0.3">
      <c r="A293" s="47" t="s">
        <v>17</v>
      </c>
      <c r="B293" s="12"/>
      <c r="C293" t="s">
        <v>18</v>
      </c>
      <c r="D293" t="s">
        <v>19</v>
      </c>
      <c r="E293" s="3">
        <f t="shared" ref="E293:E307" si="17">G293*2.47</f>
        <v>244.97953999999999</v>
      </c>
      <c r="F293" s="4">
        <f t="shared" si="16"/>
        <v>0.1497975708502024</v>
      </c>
      <c r="G293" s="3">
        <v>99.181999999999988</v>
      </c>
      <c r="H293" s="12">
        <v>1</v>
      </c>
      <c r="K293">
        <v>0.4</v>
      </c>
      <c r="L293">
        <v>12</v>
      </c>
      <c r="N293" s="12"/>
      <c r="O293" s="12"/>
      <c r="P293" s="12"/>
      <c r="Q293" s="12"/>
    </row>
    <row r="294" spans="1:18" x14ac:dyDescent="0.3">
      <c r="A294" s="47" t="s">
        <v>17</v>
      </c>
      <c r="B294" s="12"/>
      <c r="C294" t="s">
        <v>20</v>
      </c>
      <c r="D294" t="s">
        <v>21</v>
      </c>
      <c r="E294" s="3">
        <f t="shared" si="17"/>
        <v>303.62475000000001</v>
      </c>
      <c r="F294" s="4">
        <f t="shared" si="16"/>
        <v>0.14979757085020251</v>
      </c>
      <c r="G294" s="3">
        <v>122.925</v>
      </c>
      <c r="H294" s="12">
        <v>1</v>
      </c>
      <c r="K294">
        <v>0.8</v>
      </c>
      <c r="L294">
        <v>18</v>
      </c>
      <c r="N294" s="12"/>
      <c r="O294" s="12"/>
      <c r="P294" s="12"/>
      <c r="Q294" s="12"/>
    </row>
    <row r="295" spans="1:18" x14ac:dyDescent="0.3">
      <c r="A295" s="47" t="s">
        <v>17</v>
      </c>
      <c r="B295" s="12"/>
      <c r="C295" t="s">
        <v>22</v>
      </c>
      <c r="D295" t="s">
        <v>23</v>
      </c>
      <c r="E295" s="3">
        <f t="shared" si="17"/>
        <v>470.52759000000009</v>
      </c>
      <c r="F295" s="4">
        <f t="shared" si="16"/>
        <v>0.14979757085020251</v>
      </c>
      <c r="G295" s="3">
        <v>190.49700000000001</v>
      </c>
      <c r="H295" s="12">
        <v>1</v>
      </c>
      <c r="K295">
        <v>1.4</v>
      </c>
      <c r="L295">
        <v>33</v>
      </c>
      <c r="N295" s="12"/>
      <c r="O295" s="12"/>
      <c r="P295" s="12"/>
      <c r="Q295" s="12"/>
    </row>
    <row r="296" spans="1:18" x14ac:dyDescent="0.3">
      <c r="A296" s="47" t="s">
        <v>17</v>
      </c>
      <c r="B296" s="12"/>
      <c r="C296" t="s">
        <v>24</v>
      </c>
      <c r="D296" t="s">
        <v>25</v>
      </c>
      <c r="E296" s="3">
        <f t="shared" si="17"/>
        <v>637.72683000000006</v>
      </c>
      <c r="F296" s="4">
        <f t="shared" si="16"/>
        <v>0.14979757085020251</v>
      </c>
      <c r="G296" s="3">
        <v>258.18900000000002</v>
      </c>
      <c r="H296" s="12">
        <v>1</v>
      </c>
      <c r="K296">
        <v>1.4</v>
      </c>
      <c r="L296">
        <v>33</v>
      </c>
      <c r="N296" s="12"/>
      <c r="O296" s="12"/>
      <c r="P296" s="12"/>
      <c r="Q296" s="12"/>
    </row>
    <row r="297" spans="1:18" x14ac:dyDescent="0.3">
      <c r="A297" s="47" t="s">
        <v>17</v>
      </c>
      <c r="B297" s="12"/>
      <c r="C297" t="s">
        <v>26</v>
      </c>
      <c r="D297" t="s">
        <v>27</v>
      </c>
      <c r="E297" s="3">
        <f t="shared" si="17"/>
        <v>913.29485000000011</v>
      </c>
      <c r="F297" s="4">
        <f t="shared" si="16"/>
        <v>0.14979757085020251</v>
      </c>
      <c r="G297" s="3">
        <v>369.755</v>
      </c>
      <c r="H297" s="12">
        <v>1</v>
      </c>
      <c r="K297">
        <v>2.5</v>
      </c>
      <c r="L297">
        <v>44</v>
      </c>
      <c r="N297" s="12"/>
      <c r="O297" s="12"/>
      <c r="P297" s="12"/>
      <c r="Q297" s="12"/>
      <c r="R297">
        <v>3</v>
      </c>
    </row>
    <row r="298" spans="1:18" x14ac:dyDescent="0.3">
      <c r="A298" s="47" t="s">
        <v>17</v>
      </c>
      <c r="B298" s="12"/>
      <c r="C298" t="s">
        <v>28</v>
      </c>
      <c r="D298" t="s">
        <v>29</v>
      </c>
      <c r="E298" s="3">
        <f t="shared" si="17"/>
        <v>2104.6598300000005</v>
      </c>
      <c r="F298" s="4">
        <f t="shared" si="16"/>
        <v>0.14979757085020251</v>
      </c>
      <c r="G298" s="3">
        <v>852.08900000000006</v>
      </c>
      <c r="H298" s="12">
        <v>2</v>
      </c>
      <c r="K298">
        <v>4</v>
      </c>
      <c r="L298">
        <v>88</v>
      </c>
      <c r="N298" s="12"/>
      <c r="O298" s="12"/>
      <c r="P298" s="12"/>
      <c r="Q298" s="12"/>
      <c r="R298">
        <v>8</v>
      </c>
    </row>
    <row r="299" spans="1:18" x14ac:dyDescent="0.3">
      <c r="A299" s="47" t="s">
        <v>17</v>
      </c>
      <c r="B299" s="12"/>
      <c r="C299" t="s">
        <v>30</v>
      </c>
      <c r="D299" t="s">
        <v>31</v>
      </c>
      <c r="E299" s="3">
        <f t="shared" si="17"/>
        <v>2813.43127</v>
      </c>
      <c r="F299" s="13">
        <f t="shared" si="16"/>
        <v>0.1497975708502024</v>
      </c>
      <c r="G299" s="3">
        <v>1139.0409999999999</v>
      </c>
      <c r="H299" s="12">
        <v>4</v>
      </c>
      <c r="K299">
        <v>10</v>
      </c>
      <c r="L299">
        <v>176</v>
      </c>
      <c r="R299">
        <v>12</v>
      </c>
    </row>
    <row r="300" spans="1:18" x14ac:dyDescent="0.3">
      <c r="A300" s="47" t="s">
        <v>17</v>
      </c>
      <c r="B300" s="12"/>
      <c r="C300" t="s">
        <v>32</v>
      </c>
      <c r="D300" t="s">
        <v>33</v>
      </c>
      <c r="E300" s="3">
        <f t="shared" si="17"/>
        <v>3211.8916700000004</v>
      </c>
      <c r="F300" s="13">
        <f t="shared" si="16"/>
        <v>0.1497975708502024</v>
      </c>
      <c r="G300" s="3">
        <v>1300.3610000000001</v>
      </c>
      <c r="H300" s="12">
        <v>4</v>
      </c>
      <c r="K300">
        <v>10</v>
      </c>
      <c r="L300">
        <v>176</v>
      </c>
      <c r="R300">
        <v>12</v>
      </c>
    </row>
    <row r="301" spans="1:18" x14ac:dyDescent="0.3">
      <c r="A301" s="47" t="s">
        <v>17</v>
      </c>
      <c r="B301" s="12"/>
      <c r="C301" t="s">
        <v>34</v>
      </c>
      <c r="D301" t="s">
        <v>35</v>
      </c>
      <c r="E301" s="3">
        <f t="shared" si="17"/>
        <v>5622.685770000001</v>
      </c>
      <c r="F301" s="13">
        <f t="shared" si="16"/>
        <v>0.14979757085020251</v>
      </c>
      <c r="G301" s="3">
        <v>2276.3910000000001</v>
      </c>
      <c r="H301" s="12">
        <v>4</v>
      </c>
      <c r="K301">
        <v>26</v>
      </c>
      <c r="L301">
        <v>330</v>
      </c>
      <c r="R301">
        <v>24</v>
      </c>
    </row>
    <row r="302" spans="1:18" x14ac:dyDescent="0.3">
      <c r="A302" s="47" t="s">
        <v>17</v>
      </c>
      <c r="B302" s="12"/>
      <c r="C302" t="s">
        <v>882</v>
      </c>
      <c r="D302" t="s">
        <v>883</v>
      </c>
      <c r="E302" s="3">
        <f t="shared" si="17"/>
        <v>6023.4926700000005</v>
      </c>
      <c r="F302" s="13">
        <f t="shared" si="16"/>
        <v>0.14979757085020251</v>
      </c>
      <c r="G302" s="3">
        <v>2438.6610000000001</v>
      </c>
      <c r="H302" s="12">
        <v>4</v>
      </c>
      <c r="K302">
        <v>26</v>
      </c>
      <c r="L302">
        <v>330</v>
      </c>
      <c r="R302">
        <v>24</v>
      </c>
    </row>
    <row r="303" spans="1:18" x14ac:dyDescent="0.3">
      <c r="A303" s="47" t="s">
        <v>17</v>
      </c>
      <c r="B303" s="12"/>
      <c r="C303" t="s">
        <v>36</v>
      </c>
      <c r="D303" s="40" t="s">
        <v>37</v>
      </c>
      <c r="E303" s="3">
        <f t="shared" si="17"/>
        <v>6161.3507800000007</v>
      </c>
      <c r="F303" s="13">
        <f t="shared" si="16"/>
        <v>0.14979757085020251</v>
      </c>
      <c r="G303" s="3">
        <v>2494.4740000000002</v>
      </c>
      <c r="H303" s="40">
        <v>5</v>
      </c>
      <c r="K303">
        <v>45</v>
      </c>
      <c r="L303">
        <v>413</v>
      </c>
    </row>
    <row r="304" spans="1:18" x14ac:dyDescent="0.3">
      <c r="A304" s="47" t="s">
        <v>17</v>
      </c>
      <c r="B304" s="12"/>
      <c r="C304" t="s">
        <v>38</v>
      </c>
      <c r="D304" s="40" t="s">
        <v>39</v>
      </c>
      <c r="E304" s="3">
        <f t="shared" si="17"/>
        <v>6551.6750000000002</v>
      </c>
      <c r="F304" s="13">
        <f t="shared" si="16"/>
        <v>0.1497975708502024</v>
      </c>
      <c r="G304" s="3">
        <v>2652.5</v>
      </c>
      <c r="H304" s="40">
        <v>5</v>
      </c>
      <c r="K304">
        <v>45</v>
      </c>
      <c r="L304">
        <v>413</v>
      </c>
    </row>
    <row r="305" spans="1:12" x14ac:dyDescent="0.3">
      <c r="A305" s="47" t="s">
        <v>17</v>
      </c>
      <c r="B305" s="12"/>
      <c r="C305" t="s">
        <v>40</v>
      </c>
      <c r="D305" s="40" t="s">
        <v>41</v>
      </c>
      <c r="E305" s="3">
        <f t="shared" si="17"/>
        <v>6510.2950900000005</v>
      </c>
      <c r="F305" s="13">
        <f t="shared" si="16"/>
        <v>0.14979757085020251</v>
      </c>
      <c r="G305" s="3">
        <v>2635.7469999999998</v>
      </c>
      <c r="H305" s="40">
        <v>6</v>
      </c>
      <c r="K305">
        <v>75</v>
      </c>
      <c r="L305">
        <v>495.00000000000006</v>
      </c>
    </row>
    <row r="306" spans="1:12" x14ac:dyDescent="0.3">
      <c r="A306" s="47" t="s">
        <v>17</v>
      </c>
      <c r="B306" s="12"/>
      <c r="C306" t="s">
        <v>42</v>
      </c>
      <c r="D306" t="s">
        <v>43</v>
      </c>
      <c r="E306" s="3">
        <f t="shared" si="17"/>
        <v>6905.675400000001</v>
      </c>
      <c r="F306" s="13">
        <f t="shared" si="16"/>
        <v>0.14979757085020251</v>
      </c>
      <c r="G306" s="3">
        <v>2795.82</v>
      </c>
      <c r="H306" s="40">
        <v>6</v>
      </c>
      <c r="K306">
        <v>75</v>
      </c>
      <c r="L306">
        <v>495.00000000000006</v>
      </c>
    </row>
    <row r="307" spans="1:12" x14ac:dyDescent="0.3">
      <c r="A307" s="47" t="s">
        <v>17</v>
      </c>
      <c r="B307" s="12"/>
      <c r="C307" t="s">
        <v>44</v>
      </c>
      <c r="D307" s="12" t="s">
        <v>45</v>
      </c>
      <c r="E307" s="3">
        <f t="shared" si="17"/>
        <v>8829.1310900000008</v>
      </c>
      <c r="F307" s="13">
        <f t="shared" si="16"/>
        <v>0.14979757085020251</v>
      </c>
      <c r="G307" s="3">
        <v>3574.547</v>
      </c>
      <c r="H307" s="40">
        <v>8</v>
      </c>
      <c r="K307">
        <v>140</v>
      </c>
      <c r="L307">
        <v>1276</v>
      </c>
    </row>
    <row r="308" spans="1:12" x14ac:dyDescent="0.3">
      <c r="A308" s="47" t="s">
        <v>17</v>
      </c>
      <c r="B308" s="12"/>
      <c r="C308" t="s">
        <v>60</v>
      </c>
      <c r="D308" t="s">
        <v>59</v>
      </c>
      <c r="E308" s="6">
        <v>13605</v>
      </c>
      <c r="F308" s="13">
        <f t="shared" si="16"/>
        <v>-5.0000000000000044E-2</v>
      </c>
      <c r="G308" s="3">
        <v>6802.5</v>
      </c>
      <c r="H308" s="40"/>
      <c r="K308">
        <v>120</v>
      </c>
    </row>
    <row r="309" spans="1:12" x14ac:dyDescent="0.3">
      <c r="A309" s="47" t="s">
        <v>17</v>
      </c>
      <c r="B309" s="12"/>
      <c r="C309" t="s">
        <v>61</v>
      </c>
      <c r="D309" s="12" t="s">
        <v>59</v>
      </c>
      <c r="E309" s="6">
        <v>15720</v>
      </c>
      <c r="F309" s="13">
        <f t="shared" ref="F309:F340" si="18">1-G309*2.1/E309</f>
        <v>-5.0000000000000044E-2</v>
      </c>
      <c r="G309" s="3">
        <v>7860</v>
      </c>
      <c r="H309" s="40"/>
      <c r="K309">
        <v>170</v>
      </c>
    </row>
    <row r="310" spans="1:12" x14ac:dyDescent="0.3">
      <c r="A310" s="47" t="s">
        <v>17</v>
      </c>
      <c r="B310" s="12"/>
      <c r="C310" t="s">
        <v>58</v>
      </c>
      <c r="D310" t="s">
        <v>59</v>
      </c>
      <c r="E310" s="6">
        <v>8265</v>
      </c>
      <c r="F310" s="4">
        <f t="shared" si="18"/>
        <v>-5.0000000000000044E-2</v>
      </c>
      <c r="G310" s="3">
        <v>4132.5</v>
      </c>
      <c r="K310">
        <v>33</v>
      </c>
    </row>
    <row r="311" spans="1:12" x14ac:dyDescent="0.3">
      <c r="A311" s="47" t="s">
        <v>781</v>
      </c>
      <c r="B311" s="12"/>
      <c r="C311" t="s">
        <v>153</v>
      </c>
      <c r="D311" t="s">
        <v>154</v>
      </c>
      <c r="E311" s="3">
        <f>+G311*2.47</f>
        <v>11.115</v>
      </c>
      <c r="F311" s="4">
        <f t="shared" si="18"/>
        <v>0.1497975708502024</v>
      </c>
      <c r="G311" s="3">
        <v>4.5</v>
      </c>
    </row>
    <row r="312" spans="1:12" x14ac:dyDescent="0.3">
      <c r="A312" s="47" t="s">
        <v>781</v>
      </c>
      <c r="B312" s="12"/>
      <c r="C312" t="s">
        <v>151</v>
      </c>
      <c r="D312" t="s">
        <v>152</v>
      </c>
      <c r="E312" s="3">
        <v>8</v>
      </c>
      <c r="F312" s="4">
        <f t="shared" si="18"/>
        <v>0.39887499999999998</v>
      </c>
      <c r="G312" s="3">
        <v>2.29</v>
      </c>
    </row>
    <row r="313" spans="1:12" x14ac:dyDescent="0.3">
      <c r="A313" s="47" t="s">
        <v>781</v>
      </c>
      <c r="B313" s="12"/>
      <c r="C313" t="s">
        <v>159</v>
      </c>
      <c r="D313" t="s">
        <v>160</v>
      </c>
      <c r="E313" s="3">
        <f>368.11*1.05</f>
        <v>386.51550000000003</v>
      </c>
      <c r="F313" s="4">
        <f t="shared" si="18"/>
        <v>0.18307027790606067</v>
      </c>
      <c r="G313" s="3">
        <v>150.36000000000001</v>
      </c>
    </row>
    <row r="314" spans="1:12" x14ac:dyDescent="0.3">
      <c r="A314" s="47" t="s">
        <v>781</v>
      </c>
      <c r="B314" s="12"/>
      <c r="C314" t="s">
        <v>161</v>
      </c>
      <c r="D314" t="s">
        <v>162</v>
      </c>
      <c r="E314" s="3">
        <f>200*2.47</f>
        <v>494.00000000000006</v>
      </c>
      <c r="F314" s="4">
        <f t="shared" si="18"/>
        <v>0.14979757085020251</v>
      </c>
      <c r="G314" s="3">
        <v>200</v>
      </c>
    </row>
    <row r="315" spans="1:12" x14ac:dyDescent="0.3">
      <c r="A315" s="47" t="s">
        <v>781</v>
      </c>
      <c r="B315" s="12"/>
      <c r="C315" t="s">
        <v>172</v>
      </c>
      <c r="D315" t="s">
        <v>173</v>
      </c>
      <c r="E315" s="3">
        <v>27</v>
      </c>
      <c r="F315" s="4">
        <f t="shared" si="18"/>
        <v>0.64611111111111108</v>
      </c>
      <c r="G315" s="3">
        <v>4.55</v>
      </c>
    </row>
    <row r="316" spans="1:12" x14ac:dyDescent="0.3">
      <c r="A316" s="47" t="s">
        <v>781</v>
      </c>
      <c r="B316" s="12"/>
      <c r="C316" t="s">
        <v>174</v>
      </c>
      <c r="D316" t="s">
        <v>175</v>
      </c>
      <c r="E316" s="3">
        <v>28</v>
      </c>
      <c r="F316" s="4">
        <f t="shared" si="18"/>
        <v>0.30249999999999999</v>
      </c>
      <c r="G316" s="3">
        <v>9.3000000000000007</v>
      </c>
    </row>
    <row r="317" spans="1:12" x14ac:dyDescent="0.3">
      <c r="A317" s="47" t="s">
        <v>781</v>
      </c>
      <c r="B317" s="12"/>
      <c r="C317" t="s">
        <v>170</v>
      </c>
      <c r="D317" t="s">
        <v>171</v>
      </c>
      <c r="E317" s="3">
        <v>18</v>
      </c>
      <c r="F317" s="4">
        <f t="shared" si="18"/>
        <v>0.36533333333333329</v>
      </c>
      <c r="G317" s="3">
        <v>5.44</v>
      </c>
    </row>
    <row r="318" spans="1:12" x14ac:dyDescent="0.3">
      <c r="A318" s="47" t="s">
        <v>781</v>
      </c>
      <c r="B318" s="12"/>
      <c r="C318" t="s">
        <v>155</v>
      </c>
      <c r="D318" t="s">
        <v>156</v>
      </c>
      <c r="E318" s="3">
        <v>2</v>
      </c>
      <c r="F318" s="4">
        <f t="shared" si="18"/>
        <v>0.71124999999999994</v>
      </c>
      <c r="G318" s="3">
        <v>0.27500000000000002</v>
      </c>
    </row>
    <row r="319" spans="1:12" x14ac:dyDescent="0.3">
      <c r="A319" s="47" t="s">
        <v>781</v>
      </c>
      <c r="B319" s="12"/>
      <c r="C319" t="s">
        <v>168</v>
      </c>
      <c r="D319" t="s">
        <v>169</v>
      </c>
      <c r="E319" s="3">
        <v>45</v>
      </c>
      <c r="F319" s="4">
        <f t="shared" si="18"/>
        <v>0.40079999999999993</v>
      </c>
      <c r="G319" s="3">
        <v>12.84</v>
      </c>
    </row>
    <row r="320" spans="1:12" x14ac:dyDescent="0.3">
      <c r="A320" s="47" t="s">
        <v>781</v>
      </c>
      <c r="B320" s="12"/>
      <c r="C320" t="s">
        <v>166</v>
      </c>
      <c r="D320" t="s">
        <v>167</v>
      </c>
      <c r="E320" s="3">
        <v>170</v>
      </c>
      <c r="F320" s="4">
        <f t="shared" si="18"/>
        <v>-0.22022352941176471</v>
      </c>
      <c r="G320" s="3">
        <v>98.78</v>
      </c>
    </row>
    <row r="321" spans="1:12" x14ac:dyDescent="0.3">
      <c r="A321" s="47" t="s">
        <v>781</v>
      </c>
      <c r="B321" s="12"/>
      <c r="C321" t="s">
        <v>157</v>
      </c>
      <c r="D321" t="s">
        <v>158</v>
      </c>
      <c r="E321" s="3">
        <v>5</v>
      </c>
      <c r="F321" s="4">
        <f t="shared" si="18"/>
        <v>0.64300000000000002</v>
      </c>
      <c r="G321" s="3">
        <v>0.85</v>
      </c>
    </row>
    <row r="322" spans="1:12" x14ac:dyDescent="0.3">
      <c r="A322" s="47" t="s">
        <v>886</v>
      </c>
      <c r="B322" s="12"/>
      <c r="C322" t="s">
        <v>62</v>
      </c>
      <c r="D322" t="s">
        <v>63</v>
      </c>
      <c r="E322" s="3">
        <f t="shared" ref="E322:E334" si="19">+G322*3.5</f>
        <v>195.23699999999999</v>
      </c>
      <c r="F322" s="4">
        <f t="shared" si="18"/>
        <v>0.4</v>
      </c>
      <c r="G322" s="3">
        <v>55.781999999999996</v>
      </c>
      <c r="H322">
        <v>1</v>
      </c>
      <c r="K322">
        <v>0.4</v>
      </c>
    </row>
    <row r="323" spans="1:12" x14ac:dyDescent="0.3">
      <c r="A323" s="47" t="s">
        <v>886</v>
      </c>
      <c r="B323" s="12"/>
      <c r="C323" t="s">
        <v>64</v>
      </c>
      <c r="D323" t="s">
        <v>65</v>
      </c>
      <c r="E323" s="3">
        <f t="shared" si="19"/>
        <v>289.97499999999997</v>
      </c>
      <c r="F323" s="4">
        <f t="shared" si="18"/>
        <v>0.4</v>
      </c>
      <c r="G323" s="3">
        <v>82.85</v>
      </c>
      <c r="H323">
        <v>1</v>
      </c>
      <c r="K323">
        <v>0.8</v>
      </c>
    </row>
    <row r="324" spans="1:12" x14ac:dyDescent="0.3">
      <c r="A324" s="47" t="s">
        <v>886</v>
      </c>
      <c r="B324" s="12"/>
      <c r="C324" t="s">
        <v>66</v>
      </c>
      <c r="D324" t="s">
        <v>67</v>
      </c>
      <c r="E324" s="3">
        <f t="shared" si="19"/>
        <v>437.22699999999998</v>
      </c>
      <c r="F324" s="13">
        <f t="shared" si="18"/>
        <v>0.39999999999999991</v>
      </c>
      <c r="G324" s="3">
        <v>124.922</v>
      </c>
      <c r="H324" s="12">
        <v>1</v>
      </c>
      <c r="K324">
        <v>1.4</v>
      </c>
    </row>
    <row r="325" spans="1:12" x14ac:dyDescent="0.3">
      <c r="A325" s="47" t="s">
        <v>886</v>
      </c>
      <c r="B325" s="12"/>
      <c r="C325" t="s">
        <v>68</v>
      </c>
      <c r="D325" t="s">
        <v>69</v>
      </c>
      <c r="E325" s="3">
        <f t="shared" si="19"/>
        <v>767.13</v>
      </c>
      <c r="F325" s="13">
        <f t="shared" si="18"/>
        <v>0.4</v>
      </c>
      <c r="G325" s="3">
        <v>219.18</v>
      </c>
      <c r="H325" s="12">
        <v>1</v>
      </c>
      <c r="K325">
        <v>2.5</v>
      </c>
    </row>
    <row r="326" spans="1:12" x14ac:dyDescent="0.3">
      <c r="A326" s="47" t="s">
        <v>886</v>
      </c>
      <c r="B326" s="12"/>
      <c r="C326" t="s">
        <v>70</v>
      </c>
      <c r="D326" t="s">
        <v>71</v>
      </c>
      <c r="E326" s="3">
        <f t="shared" si="19"/>
        <v>1427.0654999999999</v>
      </c>
      <c r="F326" s="13">
        <f t="shared" si="18"/>
        <v>0.39999999999999991</v>
      </c>
      <c r="G326" s="3">
        <v>407.733</v>
      </c>
      <c r="H326" s="12">
        <v>2</v>
      </c>
      <c r="K326">
        <v>4</v>
      </c>
    </row>
    <row r="327" spans="1:12" x14ac:dyDescent="0.3">
      <c r="A327" s="47" t="s">
        <v>886</v>
      </c>
      <c r="B327" s="12"/>
      <c r="C327" t="s">
        <v>72</v>
      </c>
      <c r="D327" t="s">
        <v>73</v>
      </c>
      <c r="E327" s="3">
        <f t="shared" si="19"/>
        <v>2252.3795</v>
      </c>
      <c r="F327" s="13">
        <f t="shared" si="18"/>
        <v>0.39999999999999991</v>
      </c>
      <c r="G327" s="3">
        <v>643.53700000000003</v>
      </c>
      <c r="H327" s="12">
        <v>4</v>
      </c>
      <c r="K327">
        <v>10</v>
      </c>
    </row>
    <row r="328" spans="1:12" x14ac:dyDescent="0.3">
      <c r="A328" s="47" t="s">
        <v>886</v>
      </c>
      <c r="B328" s="12"/>
      <c r="C328" t="s">
        <v>74</v>
      </c>
      <c r="D328" s="12" t="s">
        <v>75</v>
      </c>
      <c r="E328" s="3">
        <f t="shared" si="19"/>
        <v>3096.1244999999999</v>
      </c>
      <c r="F328" s="13">
        <f t="shared" si="18"/>
        <v>0.4</v>
      </c>
      <c r="G328" s="3">
        <v>884.60699999999997</v>
      </c>
      <c r="H328" s="12">
        <v>4</v>
      </c>
      <c r="K328">
        <v>26</v>
      </c>
    </row>
    <row r="329" spans="1:12" x14ac:dyDescent="0.3">
      <c r="A329" s="47" t="s">
        <v>886</v>
      </c>
      <c r="B329" s="12"/>
      <c r="C329" t="s">
        <v>76</v>
      </c>
      <c r="D329" t="s">
        <v>77</v>
      </c>
      <c r="E329" s="3">
        <f t="shared" si="19"/>
        <v>3441.7915000000003</v>
      </c>
      <c r="F329" s="4">
        <f t="shared" si="18"/>
        <v>0.4</v>
      </c>
      <c r="G329" s="3">
        <v>983.36900000000003</v>
      </c>
      <c r="H329">
        <v>5</v>
      </c>
      <c r="K329">
        <v>45</v>
      </c>
    </row>
    <row r="330" spans="1:12" x14ac:dyDescent="0.3">
      <c r="A330" s="47" t="s">
        <v>886</v>
      </c>
      <c r="B330" s="12"/>
      <c r="C330" t="s">
        <v>78</v>
      </c>
      <c r="D330" t="s">
        <v>79</v>
      </c>
      <c r="E330" s="3">
        <f t="shared" si="19"/>
        <v>4000.8464999999997</v>
      </c>
      <c r="F330" s="4">
        <f t="shared" si="18"/>
        <v>0.39999999999999991</v>
      </c>
      <c r="G330" s="3">
        <v>1143.0989999999999</v>
      </c>
      <c r="H330">
        <v>5</v>
      </c>
      <c r="K330">
        <v>45</v>
      </c>
    </row>
    <row r="331" spans="1:12" x14ac:dyDescent="0.3">
      <c r="A331" s="47" t="s">
        <v>886</v>
      </c>
      <c r="B331" s="12"/>
      <c r="C331" t="s">
        <v>80</v>
      </c>
      <c r="D331" t="s">
        <v>81</v>
      </c>
      <c r="E331" s="3">
        <f t="shared" si="19"/>
        <v>3518.6235000000001</v>
      </c>
      <c r="F331" s="4">
        <f t="shared" si="18"/>
        <v>0.4</v>
      </c>
      <c r="G331" s="3">
        <v>1005.321</v>
      </c>
      <c r="H331">
        <v>6</v>
      </c>
      <c r="K331">
        <v>75</v>
      </c>
    </row>
    <row r="332" spans="1:12" x14ac:dyDescent="0.3">
      <c r="A332" s="47" t="s">
        <v>886</v>
      </c>
      <c r="B332" s="12"/>
      <c r="C332" t="s">
        <v>82</v>
      </c>
      <c r="D332" t="s">
        <v>83</v>
      </c>
      <c r="E332" s="3">
        <f t="shared" si="19"/>
        <v>4078.9000000000005</v>
      </c>
      <c r="F332" s="4">
        <f t="shared" si="18"/>
        <v>0.4</v>
      </c>
      <c r="G332" s="3">
        <v>1165.4000000000001</v>
      </c>
      <c r="H332">
        <v>6</v>
      </c>
      <c r="K332">
        <v>75</v>
      </c>
    </row>
    <row r="333" spans="1:12" x14ac:dyDescent="0.3">
      <c r="A333" s="47" t="s">
        <v>886</v>
      </c>
      <c r="B333" s="12"/>
      <c r="C333" t="s">
        <v>84</v>
      </c>
      <c r="D333" t="s">
        <v>85</v>
      </c>
      <c r="E333" s="3">
        <f t="shared" si="19"/>
        <v>3202.6435000000001</v>
      </c>
      <c r="F333" s="4">
        <f t="shared" si="18"/>
        <v>0.39999999999999991</v>
      </c>
      <c r="G333" s="3">
        <v>915.04100000000005</v>
      </c>
      <c r="H333">
        <v>6</v>
      </c>
      <c r="K333">
        <v>100</v>
      </c>
    </row>
    <row r="334" spans="1:12" x14ac:dyDescent="0.3">
      <c r="A334" s="47" t="s">
        <v>886</v>
      </c>
      <c r="B334" s="12"/>
      <c r="C334" t="s">
        <v>86</v>
      </c>
      <c r="D334" t="s">
        <v>87</v>
      </c>
      <c r="E334" s="3">
        <f t="shared" si="19"/>
        <v>5127.8885</v>
      </c>
      <c r="F334" s="4">
        <f t="shared" si="18"/>
        <v>0.39999999999999991</v>
      </c>
      <c r="G334" s="3">
        <v>1465.1110000000001</v>
      </c>
      <c r="H334">
        <v>8</v>
      </c>
      <c r="K334">
        <v>140</v>
      </c>
    </row>
    <row r="335" spans="1:12" x14ac:dyDescent="0.3">
      <c r="A335" s="49" t="s">
        <v>887</v>
      </c>
      <c r="B335" s="12"/>
      <c r="C335" t="s">
        <v>129</v>
      </c>
      <c r="D335" t="s">
        <v>130</v>
      </c>
      <c r="E335" s="3">
        <v>44</v>
      </c>
      <c r="F335" s="10">
        <f t="shared" si="18"/>
        <v>0.47499999999999998</v>
      </c>
      <c r="G335" s="3">
        <v>11</v>
      </c>
      <c r="H335" s="14"/>
      <c r="L335">
        <v>11</v>
      </c>
    </row>
    <row r="336" spans="1:12" x14ac:dyDescent="0.3">
      <c r="A336" s="49" t="s">
        <v>887</v>
      </c>
      <c r="B336" s="12"/>
      <c r="C336" t="s">
        <v>141</v>
      </c>
      <c r="D336" t="s">
        <v>142</v>
      </c>
      <c r="E336" s="3">
        <v>240</v>
      </c>
      <c r="F336" s="10">
        <f t="shared" si="18"/>
        <v>0.83812500000000001</v>
      </c>
      <c r="G336" s="3">
        <v>18.5</v>
      </c>
      <c r="H336" s="14"/>
      <c r="L336">
        <v>145</v>
      </c>
    </row>
    <row r="337" spans="1:12" x14ac:dyDescent="0.3">
      <c r="A337" s="49" t="s">
        <v>887</v>
      </c>
      <c r="B337" s="12"/>
      <c r="C337" t="s">
        <v>131</v>
      </c>
      <c r="D337" t="s">
        <v>132</v>
      </c>
      <c r="E337" s="3">
        <v>48</v>
      </c>
      <c r="F337" s="10">
        <f t="shared" si="18"/>
        <v>0.46624999999999994</v>
      </c>
      <c r="G337" s="3">
        <v>12.2</v>
      </c>
      <c r="H337" s="14"/>
      <c r="L337">
        <v>16</v>
      </c>
    </row>
    <row r="338" spans="1:12" x14ac:dyDescent="0.3">
      <c r="A338" s="49" t="s">
        <v>887</v>
      </c>
      <c r="B338" s="12"/>
      <c r="C338" t="s">
        <v>133</v>
      </c>
      <c r="D338" t="s">
        <v>134</v>
      </c>
      <c r="E338" s="3">
        <v>65</v>
      </c>
      <c r="F338" s="10">
        <f t="shared" si="18"/>
        <v>0.79646153846153844</v>
      </c>
      <c r="G338" s="3">
        <v>6.3</v>
      </c>
      <c r="H338" s="14"/>
      <c r="L338">
        <v>30</v>
      </c>
    </row>
    <row r="339" spans="1:12" x14ac:dyDescent="0.3">
      <c r="A339" s="49" t="s">
        <v>887</v>
      </c>
      <c r="B339" s="12"/>
      <c r="C339" t="s">
        <v>135</v>
      </c>
      <c r="D339" t="s">
        <v>136</v>
      </c>
      <c r="E339" s="3">
        <v>73</v>
      </c>
      <c r="F339" s="10">
        <f t="shared" si="18"/>
        <v>0.73821917808219184</v>
      </c>
      <c r="G339" s="3">
        <v>9.1</v>
      </c>
      <c r="H339" s="14"/>
      <c r="L339">
        <v>40</v>
      </c>
    </row>
    <row r="340" spans="1:12" x14ac:dyDescent="0.3">
      <c r="A340" s="49" t="s">
        <v>887</v>
      </c>
      <c r="B340" s="12"/>
      <c r="C340" t="s">
        <v>137</v>
      </c>
      <c r="D340" t="s">
        <v>138</v>
      </c>
      <c r="E340" s="3">
        <v>115</v>
      </c>
      <c r="F340" s="10">
        <f t="shared" si="18"/>
        <v>0.76260869565217393</v>
      </c>
      <c r="G340" s="3">
        <v>13</v>
      </c>
      <c r="H340" s="14"/>
      <c r="L340">
        <v>75</v>
      </c>
    </row>
    <row r="341" spans="1:12" x14ac:dyDescent="0.3">
      <c r="A341" s="49" t="s">
        <v>887</v>
      </c>
      <c r="B341" s="12"/>
      <c r="C341" t="s">
        <v>139</v>
      </c>
      <c r="D341" t="s">
        <v>140</v>
      </c>
      <c r="E341" s="3">
        <v>125</v>
      </c>
      <c r="F341" s="10">
        <f t="shared" ref="F341:F372" si="20">1-G341*2.1/E341</f>
        <v>3.9999999999995595E-4</v>
      </c>
      <c r="G341" s="3">
        <v>59.5</v>
      </c>
      <c r="H341" s="11"/>
      <c r="L341">
        <v>80</v>
      </c>
    </row>
    <row r="342" spans="1:12" x14ac:dyDescent="0.3">
      <c r="A342" s="47" t="s">
        <v>884</v>
      </c>
      <c r="B342" s="12"/>
      <c r="C342" t="s">
        <v>90</v>
      </c>
      <c r="D342" t="s">
        <v>91</v>
      </c>
      <c r="E342" s="3">
        <f t="shared" ref="E342:E356" si="21">+G342*3.5</f>
        <v>113.39999999999999</v>
      </c>
      <c r="F342" s="4">
        <f t="shared" si="20"/>
        <v>0.39999999999999991</v>
      </c>
      <c r="G342" s="3">
        <v>32.4</v>
      </c>
      <c r="H342">
        <v>1</v>
      </c>
      <c r="L342">
        <v>11</v>
      </c>
    </row>
    <row r="343" spans="1:12" x14ac:dyDescent="0.3">
      <c r="A343" s="47" t="s">
        <v>884</v>
      </c>
      <c r="B343" s="12"/>
      <c r="C343" t="s">
        <v>92</v>
      </c>
      <c r="D343" t="s">
        <v>93</v>
      </c>
      <c r="E343" s="3">
        <f t="shared" si="21"/>
        <v>131.25</v>
      </c>
      <c r="F343" s="4">
        <f t="shared" si="20"/>
        <v>0.4</v>
      </c>
      <c r="G343" s="3">
        <v>37.5</v>
      </c>
      <c r="H343">
        <v>1</v>
      </c>
      <c r="L343">
        <v>16</v>
      </c>
    </row>
    <row r="344" spans="1:12" x14ac:dyDescent="0.3">
      <c r="A344" s="47" t="s">
        <v>884</v>
      </c>
      <c r="B344" s="12"/>
      <c r="C344" t="s">
        <v>94</v>
      </c>
      <c r="D344" t="s">
        <v>95</v>
      </c>
      <c r="E344" s="3">
        <f t="shared" si="21"/>
        <v>206.5</v>
      </c>
      <c r="F344" s="4">
        <f t="shared" si="20"/>
        <v>0.4</v>
      </c>
      <c r="G344" s="3">
        <v>59</v>
      </c>
      <c r="H344">
        <v>1</v>
      </c>
      <c r="L344">
        <v>30</v>
      </c>
    </row>
    <row r="345" spans="1:12" x14ac:dyDescent="0.3">
      <c r="A345" s="47" t="s">
        <v>884</v>
      </c>
      <c r="B345" s="12"/>
      <c r="C345" t="s">
        <v>88</v>
      </c>
      <c r="D345" t="s">
        <v>89</v>
      </c>
      <c r="E345" s="3">
        <f t="shared" si="21"/>
        <v>443.42199999999997</v>
      </c>
      <c r="F345" s="4">
        <f t="shared" si="20"/>
        <v>0.39999999999999991</v>
      </c>
      <c r="G345" s="3">
        <v>126.69199999999999</v>
      </c>
      <c r="H345">
        <v>1</v>
      </c>
      <c r="L345">
        <v>40</v>
      </c>
    </row>
    <row r="346" spans="1:12" x14ac:dyDescent="0.3">
      <c r="A346" s="47" t="s">
        <v>884</v>
      </c>
      <c r="B346" s="12"/>
      <c r="C346" t="s">
        <v>96</v>
      </c>
      <c r="D346" t="s">
        <v>97</v>
      </c>
      <c r="E346" s="3">
        <f t="shared" si="21"/>
        <v>1444.471</v>
      </c>
      <c r="F346" s="4">
        <f t="shared" si="20"/>
        <v>0.39999999999999991</v>
      </c>
      <c r="G346" s="3">
        <v>412.70600000000002</v>
      </c>
      <c r="H346">
        <v>1</v>
      </c>
      <c r="L346">
        <v>30</v>
      </c>
    </row>
    <row r="347" spans="1:12" x14ac:dyDescent="0.3">
      <c r="A347" s="47" t="s">
        <v>884</v>
      </c>
      <c r="B347" s="12"/>
      <c r="C347" t="s">
        <v>98</v>
      </c>
      <c r="D347" t="s">
        <v>99</v>
      </c>
      <c r="E347" s="3">
        <f t="shared" si="21"/>
        <v>1444.471</v>
      </c>
      <c r="F347" s="4">
        <f t="shared" si="20"/>
        <v>0.39999999999999991</v>
      </c>
      <c r="G347" s="3">
        <v>412.70600000000002</v>
      </c>
      <c r="H347">
        <v>1</v>
      </c>
      <c r="L347">
        <v>40</v>
      </c>
    </row>
    <row r="348" spans="1:12" x14ac:dyDescent="0.3">
      <c r="A348" s="47" t="s">
        <v>884</v>
      </c>
      <c r="B348" s="12"/>
      <c r="C348" t="s">
        <v>100</v>
      </c>
      <c r="D348" t="s">
        <v>101</v>
      </c>
      <c r="E348" s="3">
        <f t="shared" si="21"/>
        <v>1489.6210000000001</v>
      </c>
      <c r="F348" s="4">
        <f t="shared" si="20"/>
        <v>0.4</v>
      </c>
      <c r="G348" s="3">
        <v>425.60599999999999</v>
      </c>
      <c r="H348">
        <v>2</v>
      </c>
      <c r="L348">
        <v>80</v>
      </c>
    </row>
    <row r="349" spans="1:12" x14ac:dyDescent="0.3">
      <c r="A349" s="47" t="s">
        <v>884</v>
      </c>
      <c r="B349" s="12"/>
      <c r="C349" t="s">
        <v>102</v>
      </c>
      <c r="D349" t="s">
        <v>103</v>
      </c>
      <c r="E349" s="3">
        <f t="shared" si="21"/>
        <v>1603.0140000000001</v>
      </c>
      <c r="F349" s="4">
        <f t="shared" si="20"/>
        <v>0.4</v>
      </c>
      <c r="G349" s="3">
        <v>458.00400000000002</v>
      </c>
      <c r="H349">
        <v>4</v>
      </c>
      <c r="L349">
        <v>160</v>
      </c>
    </row>
    <row r="350" spans="1:12" x14ac:dyDescent="0.3">
      <c r="A350" s="47" t="s">
        <v>884</v>
      </c>
      <c r="B350" s="12"/>
      <c r="C350" t="s">
        <v>115</v>
      </c>
      <c r="D350" t="s">
        <v>116</v>
      </c>
      <c r="E350" s="3">
        <f t="shared" si="21"/>
        <v>7598.9410000000007</v>
      </c>
      <c r="F350" s="4">
        <f t="shared" si="20"/>
        <v>0.39999999999999991</v>
      </c>
      <c r="G350" s="3">
        <v>2171.1260000000002</v>
      </c>
      <c r="H350">
        <v>10</v>
      </c>
      <c r="L350">
        <f>145*10</f>
        <v>1450</v>
      </c>
    </row>
    <row r="351" spans="1:12" x14ac:dyDescent="0.3">
      <c r="A351" s="47" t="s">
        <v>884</v>
      </c>
      <c r="B351" s="12"/>
      <c r="C351" t="s">
        <v>104</v>
      </c>
      <c r="D351" t="s">
        <v>105</v>
      </c>
      <c r="E351" s="3">
        <f t="shared" si="21"/>
        <v>2167.634</v>
      </c>
      <c r="F351" s="4">
        <f t="shared" si="20"/>
        <v>0.4</v>
      </c>
      <c r="G351" s="3">
        <v>619.32399999999996</v>
      </c>
      <c r="H351">
        <v>4</v>
      </c>
      <c r="L351">
        <v>160</v>
      </c>
    </row>
    <row r="352" spans="1:12" x14ac:dyDescent="0.3">
      <c r="A352" s="47" t="s">
        <v>884</v>
      </c>
      <c r="B352" s="12"/>
      <c r="C352" t="s">
        <v>106</v>
      </c>
      <c r="D352" t="s">
        <v>107</v>
      </c>
      <c r="E352" s="3">
        <f t="shared" si="21"/>
        <v>4685.3940000000002</v>
      </c>
      <c r="F352" s="4">
        <f t="shared" si="20"/>
        <v>0.4</v>
      </c>
      <c r="G352" s="3">
        <v>1338.684</v>
      </c>
      <c r="H352">
        <v>4</v>
      </c>
      <c r="L352">
        <f>4*75</f>
        <v>300</v>
      </c>
    </row>
    <row r="353" spans="1:18" x14ac:dyDescent="0.3">
      <c r="A353" s="47" t="s">
        <v>884</v>
      </c>
      <c r="B353" s="12"/>
      <c r="C353" s="12" t="s">
        <v>108</v>
      </c>
      <c r="D353" s="12" t="s">
        <v>881</v>
      </c>
      <c r="E353" s="3">
        <f t="shared" si="21"/>
        <v>5056.5550000000003</v>
      </c>
      <c r="F353" s="13">
        <f t="shared" si="20"/>
        <v>0.4</v>
      </c>
      <c r="G353" s="3">
        <v>1444.73</v>
      </c>
      <c r="H353" s="12">
        <v>5</v>
      </c>
      <c r="I353" s="12"/>
      <c r="J353" s="12"/>
      <c r="K353" s="12"/>
      <c r="L353" s="12">
        <f>5*75</f>
        <v>375</v>
      </c>
      <c r="M353" s="12"/>
      <c r="N353" s="12"/>
      <c r="O353" s="12"/>
      <c r="P353" s="12"/>
      <c r="Q353" s="12"/>
      <c r="R353" s="12"/>
    </row>
    <row r="354" spans="1:18" x14ac:dyDescent="0.3">
      <c r="A354" s="47" t="s">
        <v>884</v>
      </c>
      <c r="B354" s="12"/>
      <c r="C354" s="12" t="s">
        <v>109</v>
      </c>
      <c r="D354" s="12" t="s">
        <v>110</v>
      </c>
      <c r="E354" s="3">
        <f t="shared" si="21"/>
        <v>5427.7160000000003</v>
      </c>
      <c r="F354" s="13">
        <f t="shared" si="20"/>
        <v>0.4</v>
      </c>
      <c r="G354" s="3">
        <v>1550.7760000000001</v>
      </c>
      <c r="H354" s="12">
        <v>6</v>
      </c>
      <c r="I354" s="12"/>
      <c r="J354" s="12"/>
      <c r="K354" s="12"/>
      <c r="L354" s="12">
        <f>6*75</f>
        <v>450</v>
      </c>
      <c r="M354" s="12"/>
      <c r="N354" s="12"/>
      <c r="O354" s="12"/>
      <c r="P354" s="12"/>
      <c r="Q354" s="12"/>
      <c r="R354" s="12"/>
    </row>
    <row r="355" spans="1:18" x14ac:dyDescent="0.3">
      <c r="A355" s="47" t="s">
        <v>884</v>
      </c>
      <c r="B355" s="12"/>
      <c r="C355" s="12" t="s">
        <v>111</v>
      </c>
      <c r="D355" s="12" t="s">
        <v>112</v>
      </c>
      <c r="E355" s="3">
        <f t="shared" si="21"/>
        <v>4678.625</v>
      </c>
      <c r="F355" s="13">
        <f t="shared" si="20"/>
        <v>0.39999999999999991</v>
      </c>
      <c r="G355" s="3">
        <v>1336.75</v>
      </c>
      <c r="H355" s="12">
        <v>6</v>
      </c>
      <c r="I355" s="12"/>
      <c r="J355" s="12"/>
      <c r="K355" s="12"/>
      <c r="L355" s="12">
        <f>6*80</f>
        <v>480</v>
      </c>
      <c r="M355" s="12"/>
      <c r="N355" s="12"/>
      <c r="O355" s="12"/>
      <c r="P355" s="12"/>
      <c r="Q355" s="12"/>
      <c r="R355" s="12"/>
    </row>
    <row r="356" spans="1:18" x14ac:dyDescent="0.3">
      <c r="A356" s="47" t="s">
        <v>884</v>
      </c>
      <c r="B356" s="12"/>
      <c r="C356" s="12" t="s">
        <v>113</v>
      </c>
      <c r="D356" s="40" t="s">
        <v>114</v>
      </c>
      <c r="E356" s="3">
        <f t="shared" si="21"/>
        <v>6870.0379999999996</v>
      </c>
      <c r="F356" s="13">
        <f t="shared" si="20"/>
        <v>0.4</v>
      </c>
      <c r="G356" s="3">
        <v>1962.8679999999999</v>
      </c>
      <c r="H356" s="40">
        <v>8</v>
      </c>
      <c r="I356" s="12"/>
      <c r="J356" s="12"/>
      <c r="K356" s="12"/>
      <c r="L356" s="12">
        <f>8*145</f>
        <v>1160</v>
      </c>
      <c r="M356" s="12"/>
      <c r="N356" s="12"/>
      <c r="O356" s="12"/>
      <c r="P356" s="12"/>
      <c r="Q356" s="12"/>
      <c r="R356" s="12"/>
    </row>
    <row r="357" spans="1:18" x14ac:dyDescent="0.3">
      <c r="A357" s="47" t="s">
        <v>885</v>
      </c>
      <c r="B357" s="12"/>
      <c r="C357" s="12" t="s">
        <v>143</v>
      </c>
      <c r="D357" s="40" t="s">
        <v>144</v>
      </c>
      <c r="E357" s="3">
        <v>24</v>
      </c>
      <c r="F357" s="10">
        <f t="shared" si="20"/>
        <v>0.78125</v>
      </c>
      <c r="G357" s="3">
        <v>2.5</v>
      </c>
      <c r="H357" s="14"/>
      <c r="I357" s="12"/>
      <c r="J357" s="12"/>
      <c r="K357" s="12"/>
      <c r="L357" s="12"/>
      <c r="M357" s="12"/>
      <c r="N357" s="12"/>
      <c r="O357" s="12"/>
      <c r="P357" s="12"/>
      <c r="Q357" s="12"/>
      <c r="R357" s="12"/>
    </row>
    <row r="358" spans="1:18" x14ac:dyDescent="0.3">
      <c r="A358" s="47" t="s">
        <v>885</v>
      </c>
      <c r="B358" s="12"/>
      <c r="C358" s="12" t="s">
        <v>145</v>
      </c>
      <c r="D358" s="12" t="s">
        <v>146</v>
      </c>
      <c r="E358" s="3">
        <v>28</v>
      </c>
      <c r="F358" s="10">
        <f t="shared" si="20"/>
        <v>0.745</v>
      </c>
      <c r="G358" s="3">
        <v>3.4</v>
      </c>
      <c r="H358" s="14"/>
      <c r="I358" s="12"/>
      <c r="J358" s="12"/>
      <c r="K358" s="12"/>
      <c r="L358" s="12"/>
      <c r="M358" s="12"/>
      <c r="N358" s="12"/>
      <c r="O358" s="12"/>
      <c r="P358" s="12"/>
      <c r="Q358" s="12"/>
      <c r="R358" s="12"/>
    </row>
    <row r="359" spans="1:18" x14ac:dyDescent="0.3">
      <c r="A359" s="47" t="s">
        <v>885</v>
      </c>
      <c r="B359" s="12"/>
      <c r="C359" s="12" t="s">
        <v>147</v>
      </c>
      <c r="D359" s="12" t="s">
        <v>148</v>
      </c>
      <c r="E359" s="3">
        <v>37</v>
      </c>
      <c r="F359" s="10">
        <f t="shared" si="20"/>
        <v>0.73891891891891892</v>
      </c>
      <c r="G359" s="3">
        <v>4.5999999999999996</v>
      </c>
      <c r="H359" s="14"/>
      <c r="I359" s="12"/>
      <c r="J359" s="12"/>
      <c r="K359" s="12"/>
      <c r="L359" s="12"/>
      <c r="M359" s="12"/>
      <c r="N359" s="12"/>
      <c r="O359" s="12"/>
      <c r="P359" s="12"/>
      <c r="Q359" s="12"/>
      <c r="R359" s="12"/>
    </row>
    <row r="360" spans="1:18" x14ac:dyDescent="0.3">
      <c r="A360" s="47" t="s">
        <v>885</v>
      </c>
      <c r="B360" s="12"/>
      <c r="C360" s="12" t="s">
        <v>149</v>
      </c>
      <c r="D360" s="12" t="s">
        <v>150</v>
      </c>
      <c r="E360" s="3">
        <v>52</v>
      </c>
      <c r="F360" s="10">
        <f t="shared" si="20"/>
        <v>0.66884615384615387</v>
      </c>
      <c r="G360" s="3">
        <v>8.1999999999999993</v>
      </c>
      <c r="H360" s="14"/>
      <c r="I360" s="12"/>
      <c r="J360" s="12"/>
      <c r="K360" s="12"/>
      <c r="L360" s="12"/>
      <c r="M360" s="12"/>
      <c r="N360" s="12"/>
      <c r="O360" s="12"/>
      <c r="P360" s="12"/>
      <c r="Q360" s="12"/>
      <c r="R360" s="12"/>
    </row>
    <row r="361" spans="1:18" x14ac:dyDescent="0.3">
      <c r="A361" s="47" t="s">
        <v>885</v>
      </c>
      <c r="B361" s="12"/>
      <c r="C361" s="12" t="s">
        <v>921</v>
      </c>
      <c r="D361" s="14" t="s">
        <v>632</v>
      </c>
      <c r="E361" s="3">
        <v>77</v>
      </c>
      <c r="F361" s="10">
        <f t="shared" si="20"/>
        <v>0.68090909090909091</v>
      </c>
      <c r="G361" s="3">
        <v>11.7</v>
      </c>
      <c r="H361" s="14"/>
      <c r="I361" s="12"/>
      <c r="J361" s="12"/>
      <c r="K361" s="12"/>
      <c r="L361" s="12"/>
      <c r="M361" s="12"/>
      <c r="N361" s="12"/>
      <c r="O361" s="12"/>
      <c r="P361" s="12"/>
      <c r="Q361" s="12"/>
      <c r="R361" s="12"/>
    </row>
    <row r="362" spans="1:18" x14ac:dyDescent="0.3">
      <c r="A362" s="47" t="s">
        <v>576</v>
      </c>
      <c r="B362" s="12"/>
      <c r="C362" s="12" t="s">
        <v>592</v>
      </c>
      <c r="D362" s="12" t="s">
        <v>593</v>
      </c>
      <c r="E362" s="3">
        <f>G362*2.47</f>
        <v>79.781000000000006</v>
      </c>
      <c r="F362" s="13">
        <f t="shared" si="20"/>
        <v>0.14979757085020251</v>
      </c>
      <c r="G362" s="3">
        <v>32.299999999999997</v>
      </c>
      <c r="H362" s="12"/>
      <c r="I362" s="12"/>
      <c r="J362" s="12"/>
      <c r="K362" s="12"/>
      <c r="L362" s="12"/>
      <c r="M362" s="12"/>
      <c r="N362" s="12">
        <v>100</v>
      </c>
      <c r="O362" s="12"/>
      <c r="P362" s="12"/>
      <c r="Q362" s="12"/>
      <c r="R362" s="12"/>
    </row>
    <row r="363" spans="1:18" x14ac:dyDescent="0.3">
      <c r="A363" s="47" t="s">
        <v>576</v>
      </c>
      <c r="B363" s="12"/>
      <c r="C363" s="12" t="s">
        <v>580</v>
      </c>
      <c r="D363" s="12" t="s">
        <v>581</v>
      </c>
      <c r="E363" s="3">
        <f>G363*2.47</f>
        <v>2457.65</v>
      </c>
      <c r="F363" s="13">
        <f t="shared" si="20"/>
        <v>0.14979757085020251</v>
      </c>
      <c r="G363" s="3">
        <v>995</v>
      </c>
      <c r="H363" s="12"/>
      <c r="I363" s="12"/>
      <c r="J363" s="12"/>
      <c r="K363" s="12"/>
      <c r="L363" s="12"/>
      <c r="M363" s="12"/>
      <c r="N363" s="12">
        <f>9*20*8</f>
        <v>1440</v>
      </c>
      <c r="O363" s="12"/>
      <c r="P363" s="12"/>
      <c r="Q363" s="12" t="s">
        <v>582</v>
      </c>
      <c r="R363" s="12"/>
    </row>
    <row r="364" spans="1:18" x14ac:dyDescent="0.3">
      <c r="A364" s="47" t="s">
        <v>576</v>
      </c>
      <c r="B364" s="12"/>
      <c r="C364" s="12" t="s">
        <v>583</v>
      </c>
      <c r="D364" s="12" t="s">
        <v>584</v>
      </c>
      <c r="E364" s="3">
        <f>G364*2.47</f>
        <v>3396.2500000000005</v>
      </c>
      <c r="F364" s="13">
        <f t="shared" si="20"/>
        <v>0.14979757085020251</v>
      </c>
      <c r="G364" s="3">
        <v>1375</v>
      </c>
      <c r="H364" s="12"/>
      <c r="I364" s="12"/>
      <c r="J364" s="12"/>
      <c r="K364" s="12"/>
      <c r="L364" s="12"/>
      <c r="M364" s="12"/>
      <c r="N364" s="12">
        <f>10*20*9</f>
        <v>1800</v>
      </c>
      <c r="O364" s="12"/>
      <c r="P364" s="12"/>
      <c r="Q364" s="12" t="s">
        <v>585</v>
      </c>
      <c r="R364" s="12"/>
    </row>
    <row r="365" spans="1:18" x14ac:dyDescent="0.3">
      <c r="A365" s="47" t="s">
        <v>576</v>
      </c>
      <c r="B365" s="12"/>
      <c r="C365" s="12" t="s">
        <v>590</v>
      </c>
      <c r="D365" s="12" t="s">
        <v>591</v>
      </c>
      <c r="E365" s="3">
        <f>G365*2.47</f>
        <v>162.55070000000001</v>
      </c>
      <c r="F365" s="13">
        <f t="shared" si="20"/>
        <v>0.14979757085020229</v>
      </c>
      <c r="G365" s="3">
        <v>65.81</v>
      </c>
      <c r="H365" s="12"/>
      <c r="I365" s="12"/>
      <c r="J365" s="12"/>
      <c r="K365" s="12"/>
      <c r="L365" s="12"/>
      <c r="M365" s="12"/>
      <c r="N365" s="12"/>
      <c r="O365" s="12"/>
      <c r="P365" s="12"/>
      <c r="Q365" s="12"/>
      <c r="R365" s="12"/>
    </row>
    <row r="366" spans="1:18" x14ac:dyDescent="0.3">
      <c r="A366" s="47" t="s">
        <v>576</v>
      </c>
      <c r="B366" s="12"/>
      <c r="C366" s="12" t="s">
        <v>587</v>
      </c>
      <c r="D366" s="12" t="s">
        <v>588</v>
      </c>
      <c r="E366" s="3">
        <f>(1250+120)*2.1/0.85</f>
        <v>3384.7058823529414</v>
      </c>
      <c r="F366" s="13">
        <f t="shared" si="20"/>
        <v>0.14979757085020251</v>
      </c>
      <c r="G366" s="3">
        <v>1370.3262681590854</v>
      </c>
      <c r="H366" s="12"/>
      <c r="I366" s="12"/>
      <c r="J366" s="12"/>
      <c r="K366" s="12"/>
      <c r="L366" s="12"/>
      <c r="M366" s="12"/>
      <c r="N366" s="12">
        <v>2000</v>
      </c>
      <c r="O366" s="12"/>
      <c r="P366" s="12"/>
      <c r="Q366" s="12" t="s">
        <v>589</v>
      </c>
      <c r="R366" s="12"/>
    </row>
    <row r="367" spans="1:18" x14ac:dyDescent="0.3">
      <c r="A367" s="47" t="s">
        <v>576</v>
      </c>
      <c r="B367" s="12"/>
      <c r="C367" s="12" t="s">
        <v>594</v>
      </c>
      <c r="D367" s="12" t="s">
        <v>595</v>
      </c>
      <c r="E367" s="3">
        <f>79.95*2.47</f>
        <v>197.47650000000002</v>
      </c>
      <c r="F367" s="13">
        <f t="shared" si="20"/>
        <v>0.17127860783434989</v>
      </c>
      <c r="G367" s="3">
        <v>77.930000000000007</v>
      </c>
      <c r="H367" s="12"/>
      <c r="I367" s="12"/>
      <c r="J367" s="12"/>
      <c r="K367" s="12"/>
      <c r="L367" s="12"/>
      <c r="M367" s="12"/>
      <c r="N367" s="12"/>
      <c r="O367" s="12"/>
      <c r="P367" s="12"/>
      <c r="Q367" s="12"/>
      <c r="R367" s="12"/>
    </row>
    <row r="368" spans="1:18" x14ac:dyDescent="0.3">
      <c r="A368" s="47" t="s">
        <v>576</v>
      </c>
      <c r="B368" s="12"/>
      <c r="C368" s="12" t="s">
        <v>852</v>
      </c>
      <c r="D368" s="12" t="s">
        <v>586</v>
      </c>
      <c r="E368" s="3">
        <f>G368*2.47</f>
        <v>337.15500000000003</v>
      </c>
      <c r="F368" s="13">
        <f t="shared" si="20"/>
        <v>0.1497975708502024</v>
      </c>
      <c r="G368" s="3">
        <v>136.5</v>
      </c>
      <c r="H368" s="12"/>
      <c r="I368" s="12"/>
      <c r="J368" s="12"/>
      <c r="K368" s="12"/>
      <c r="L368" s="12"/>
      <c r="M368" s="12"/>
      <c r="N368" s="12">
        <v>600</v>
      </c>
      <c r="O368" s="12"/>
      <c r="P368" s="12"/>
      <c r="Q368" s="12"/>
      <c r="R368" s="12">
        <v>27</v>
      </c>
    </row>
    <row r="369" spans="1:18" x14ac:dyDescent="0.3">
      <c r="A369" s="47" t="s">
        <v>576</v>
      </c>
      <c r="B369" s="12"/>
      <c r="C369" s="12" t="s">
        <v>577</v>
      </c>
      <c r="D369" s="12" t="s">
        <v>578</v>
      </c>
      <c r="E369" s="3">
        <f>G369*2.47</f>
        <v>348.27000000000004</v>
      </c>
      <c r="F369" s="13">
        <f t="shared" si="20"/>
        <v>0.14979757085020251</v>
      </c>
      <c r="G369" s="3">
        <v>141</v>
      </c>
      <c r="H369" s="12"/>
      <c r="I369" s="12"/>
      <c r="J369" s="12"/>
      <c r="K369" s="12"/>
      <c r="L369" s="12"/>
      <c r="M369" s="12"/>
      <c r="N369" s="12">
        <v>700</v>
      </c>
      <c r="O369" s="12"/>
      <c r="P369" s="12"/>
      <c r="Q369" s="12" t="s">
        <v>579</v>
      </c>
      <c r="R369" s="12"/>
    </row>
    <row r="370" spans="1:18" x14ac:dyDescent="0.3">
      <c r="A370" s="47" t="s">
        <v>782</v>
      </c>
      <c r="B370" s="12"/>
      <c r="C370" s="12" t="s">
        <v>544</v>
      </c>
      <c r="D370" s="12" t="s">
        <v>545</v>
      </c>
      <c r="E370" s="3">
        <v>1215.7</v>
      </c>
      <c r="F370" s="13">
        <f t="shared" si="20"/>
        <v>0.1497975708502024</v>
      </c>
      <c r="G370" s="3">
        <f>+E370/2.47</f>
        <v>492.18623481781373</v>
      </c>
      <c r="H370" s="12"/>
      <c r="I370" s="12"/>
      <c r="J370" s="12"/>
      <c r="K370" s="12"/>
      <c r="L370" s="12"/>
      <c r="M370" s="12"/>
      <c r="N370" s="12"/>
      <c r="O370" s="12"/>
      <c r="P370" s="12"/>
      <c r="Q370" s="12"/>
      <c r="R370" s="12"/>
    </row>
    <row r="371" spans="1:18" x14ac:dyDescent="0.3">
      <c r="A371" s="47" t="s">
        <v>782</v>
      </c>
      <c r="B371" s="12"/>
      <c r="C371" s="12" t="s">
        <v>542</v>
      </c>
      <c r="D371" s="12" t="s">
        <v>543</v>
      </c>
      <c r="E371" s="3">
        <v>1465.8</v>
      </c>
      <c r="F371" s="13">
        <f t="shared" si="20"/>
        <v>0.14979757085020251</v>
      </c>
      <c r="G371" s="3">
        <f>+E371/2.47</f>
        <v>593.44129554655865</v>
      </c>
      <c r="H371" s="12"/>
      <c r="I371" s="12"/>
      <c r="J371" s="12"/>
      <c r="K371" s="12"/>
      <c r="L371" s="12"/>
      <c r="M371" s="12"/>
      <c r="N371" s="12"/>
      <c r="O371" s="12"/>
      <c r="P371" s="12"/>
      <c r="Q371" s="12"/>
      <c r="R371" s="12"/>
    </row>
    <row r="372" spans="1:18" x14ac:dyDescent="0.3">
      <c r="A372" s="47" t="s">
        <v>782</v>
      </c>
      <c r="B372" s="12"/>
      <c r="C372" s="12" t="s">
        <v>527</v>
      </c>
      <c r="D372" s="12" t="s">
        <v>528</v>
      </c>
      <c r="E372" s="3">
        <v>548.22</v>
      </c>
      <c r="F372" s="13">
        <f t="shared" si="20"/>
        <v>0.14979757085020251</v>
      </c>
      <c r="G372" s="3">
        <v>221.95141700404858</v>
      </c>
      <c r="H372" s="12"/>
      <c r="I372" s="12"/>
      <c r="J372" s="12"/>
      <c r="K372" s="12"/>
      <c r="L372" s="12"/>
      <c r="M372" s="12"/>
      <c r="N372" s="12"/>
      <c r="O372" s="12">
        <v>20</v>
      </c>
      <c r="P372" s="12"/>
      <c r="Q372" s="12"/>
      <c r="R372" s="12"/>
    </row>
    <row r="373" spans="1:18" x14ac:dyDescent="0.3">
      <c r="A373" s="47" t="s">
        <v>782</v>
      </c>
      <c r="B373" s="12"/>
      <c r="C373" s="12" t="s">
        <v>760</v>
      </c>
      <c r="D373" s="12" t="s">
        <v>529</v>
      </c>
      <c r="E373" s="3">
        <v>685.34</v>
      </c>
      <c r="F373" s="13">
        <f t="shared" ref="F373:F375" si="22">1-G373*2.1/E373</f>
        <v>0.1497975708502024</v>
      </c>
      <c r="G373" s="3">
        <v>277.4655870445344</v>
      </c>
      <c r="H373" s="12"/>
      <c r="I373" s="12"/>
      <c r="J373" s="12"/>
      <c r="K373" s="12"/>
      <c r="L373" s="12"/>
      <c r="M373" s="12"/>
      <c r="N373" s="12"/>
      <c r="O373" s="12">
        <v>25</v>
      </c>
      <c r="P373" s="12"/>
      <c r="Q373" s="12"/>
      <c r="R373" s="12"/>
    </row>
    <row r="374" spans="1:18" x14ac:dyDescent="0.3">
      <c r="A374" s="47" t="s">
        <v>782</v>
      </c>
      <c r="B374" s="12"/>
      <c r="C374" s="12" t="s">
        <v>761</v>
      </c>
      <c r="D374" s="12" t="s">
        <v>530</v>
      </c>
      <c r="E374" s="3">
        <f>116.85*2.47</f>
        <v>288.61950000000002</v>
      </c>
      <c r="F374" s="13">
        <f t="shared" si="22"/>
        <v>0.14979757085020251</v>
      </c>
      <c r="G374" s="3">
        <v>116.85</v>
      </c>
      <c r="H374" s="12"/>
      <c r="I374" s="12"/>
      <c r="J374" s="12"/>
      <c r="K374" s="12"/>
      <c r="L374" s="12"/>
      <c r="M374" s="12"/>
      <c r="N374" s="12"/>
      <c r="O374" s="12">
        <v>30</v>
      </c>
      <c r="P374" s="12"/>
      <c r="Q374" s="12"/>
      <c r="R374" s="12"/>
    </row>
    <row r="375" spans="1:18" x14ac:dyDescent="0.3">
      <c r="A375" s="47" t="s">
        <v>782</v>
      </c>
      <c r="B375" s="12"/>
      <c r="C375" s="12" t="s">
        <v>762</v>
      </c>
      <c r="D375" s="12" t="s">
        <v>531</v>
      </c>
      <c r="E375" s="3">
        <v>389.12</v>
      </c>
      <c r="F375" s="13">
        <f t="shared" si="22"/>
        <v>0.14979757085020251</v>
      </c>
      <c r="G375" s="3">
        <v>157.53846153846152</v>
      </c>
      <c r="H375" s="12"/>
      <c r="I375" s="12"/>
      <c r="J375" s="12"/>
      <c r="K375" s="12"/>
      <c r="L375" s="12"/>
      <c r="M375" s="12"/>
      <c r="N375" s="12"/>
      <c r="O375" s="12">
        <v>40</v>
      </c>
      <c r="P375" s="12"/>
      <c r="Q375" s="12"/>
      <c r="R375" s="12"/>
    </row>
    <row r="376" spans="1:18" x14ac:dyDescent="0.3">
      <c r="A376" s="47" t="s">
        <v>782</v>
      </c>
      <c r="B376" s="12"/>
      <c r="C376" s="12" t="s">
        <v>763</v>
      </c>
      <c r="D376" s="12" t="s">
        <v>532</v>
      </c>
      <c r="E376" s="3"/>
      <c r="F376" s="13"/>
      <c r="G376" s="3"/>
      <c r="H376" s="12"/>
      <c r="I376" s="12"/>
      <c r="J376" s="12"/>
      <c r="K376" s="12"/>
      <c r="L376" s="12"/>
      <c r="M376" s="12"/>
      <c r="N376" s="12"/>
      <c r="O376" s="12">
        <v>50</v>
      </c>
      <c r="P376" s="12"/>
      <c r="Q376" s="12"/>
      <c r="R376" s="12"/>
    </row>
    <row r="377" spans="1:18" x14ac:dyDescent="0.3">
      <c r="A377" s="47" t="s">
        <v>782</v>
      </c>
      <c r="B377" s="12"/>
      <c r="C377" s="12" t="s">
        <v>764</v>
      </c>
      <c r="D377" s="12" t="s">
        <v>533</v>
      </c>
      <c r="E377" s="3">
        <f>4295.87/3.05/2.05</f>
        <v>687.06437425029992</v>
      </c>
      <c r="F377" s="13">
        <f t="shared" ref="F377:F389" si="23">1-G377*2.1/E377</f>
        <v>0.14979689795082241</v>
      </c>
      <c r="G377" s="3">
        <f>1739.22/3.05/2.05</f>
        <v>278.16393442622956</v>
      </c>
      <c r="H377" s="12"/>
      <c r="N377" s="12"/>
      <c r="O377" s="12">
        <v>60</v>
      </c>
      <c r="P377" s="12"/>
      <c r="Q377" s="12"/>
    </row>
    <row r="378" spans="1:18" x14ac:dyDescent="0.3">
      <c r="A378" s="47" t="s">
        <v>782</v>
      </c>
      <c r="B378" s="12"/>
      <c r="C378" s="12" t="s">
        <v>534</v>
      </c>
      <c r="D378" s="12" t="s">
        <v>535</v>
      </c>
      <c r="E378" s="3">
        <v>1053.21</v>
      </c>
      <c r="F378" s="13">
        <f t="shared" si="23"/>
        <v>0.14979757085020251</v>
      </c>
      <c r="G378" s="3">
        <v>426.40080971659916</v>
      </c>
      <c r="H378" s="12"/>
      <c r="N378" s="12"/>
      <c r="O378" s="12">
        <v>70</v>
      </c>
      <c r="P378" s="12"/>
      <c r="Q378" s="12"/>
    </row>
    <row r="379" spans="1:18" x14ac:dyDescent="0.3">
      <c r="A379" s="47" t="s">
        <v>782</v>
      </c>
      <c r="B379" s="12"/>
      <c r="C379" s="12" t="s">
        <v>536</v>
      </c>
      <c r="D379" s="12" t="s">
        <v>537</v>
      </c>
      <c r="E379" s="3">
        <f>G379*2.47</f>
        <v>8.8920000000000012</v>
      </c>
      <c r="F379" s="13">
        <f t="shared" si="23"/>
        <v>0.14979757085020251</v>
      </c>
      <c r="G379" s="3">
        <v>3.6</v>
      </c>
      <c r="H379" s="40"/>
      <c r="N379" s="40"/>
      <c r="O379" s="40"/>
      <c r="P379" s="40"/>
      <c r="Q379" s="40"/>
    </row>
    <row r="380" spans="1:18" x14ac:dyDescent="0.3">
      <c r="A380" s="47" t="s">
        <v>782</v>
      </c>
      <c r="B380" s="12"/>
      <c r="C380" t="s">
        <v>540</v>
      </c>
      <c r="D380" t="s">
        <v>541</v>
      </c>
      <c r="E380" s="3">
        <f>6.46*2.47</f>
        <v>15.956200000000001</v>
      </c>
      <c r="F380" s="13">
        <f t="shared" si="23"/>
        <v>0.1497975708502024</v>
      </c>
      <c r="G380" s="3">
        <v>6.46</v>
      </c>
      <c r="H380" s="40"/>
      <c r="N380" s="40"/>
      <c r="O380" s="40"/>
      <c r="P380" s="40"/>
      <c r="Q380" s="40"/>
    </row>
    <row r="381" spans="1:18" x14ac:dyDescent="0.3">
      <c r="A381" s="47" t="s">
        <v>782</v>
      </c>
      <c r="B381" s="12"/>
      <c r="C381" t="s">
        <v>538</v>
      </c>
      <c r="D381" s="12" t="s">
        <v>539</v>
      </c>
      <c r="E381" s="3">
        <f>G381*2.47</f>
        <v>32.603999999999999</v>
      </c>
      <c r="F381" s="13">
        <f t="shared" si="23"/>
        <v>0.1497975708502024</v>
      </c>
      <c r="G381" s="3">
        <v>13.2</v>
      </c>
      <c r="H381" s="40"/>
      <c r="N381" s="40"/>
      <c r="O381" s="40"/>
      <c r="P381" s="40"/>
      <c r="Q381" s="40"/>
    </row>
    <row r="382" spans="1:18" x14ac:dyDescent="0.3">
      <c r="A382" s="47" t="s">
        <v>512</v>
      </c>
      <c r="B382" s="12"/>
      <c r="C382" t="s">
        <v>517</v>
      </c>
      <c r="D382" s="12" t="s">
        <v>518</v>
      </c>
      <c r="E382" s="8">
        <f>1806*2.4729</f>
        <v>4466.0574000000006</v>
      </c>
      <c r="F382" s="13">
        <f t="shared" si="23"/>
        <v>0.14979757085020251</v>
      </c>
      <c r="G382" s="3">
        <f>+E382/2.47</f>
        <v>1808.1204048582997</v>
      </c>
      <c r="H382" s="9"/>
      <c r="N382" s="9">
        <f>5^2*PI()*5*1.05</f>
        <v>412.3340357836604</v>
      </c>
      <c r="O382" s="9"/>
      <c r="P382" s="9"/>
      <c r="Q382" s="9"/>
    </row>
    <row r="383" spans="1:18" x14ac:dyDescent="0.3">
      <c r="A383" s="47" t="s">
        <v>512</v>
      </c>
      <c r="B383" s="12"/>
      <c r="C383" t="s">
        <v>519</v>
      </c>
      <c r="D383" s="12" t="s">
        <v>520</v>
      </c>
      <c r="E383" s="8">
        <f>5375*2.47</f>
        <v>13276.250000000002</v>
      </c>
      <c r="F383" s="13">
        <f t="shared" si="23"/>
        <v>0.14979757085020251</v>
      </c>
      <c r="G383" s="3">
        <f>+E383/2.47</f>
        <v>5375</v>
      </c>
      <c r="H383" s="9"/>
      <c r="N383" s="9">
        <f>7.5^2*PI()*6*1.05</f>
        <v>1113.3018966158832</v>
      </c>
      <c r="O383" s="9"/>
      <c r="P383" s="9"/>
      <c r="Q383" s="9"/>
    </row>
    <row r="384" spans="1:18" x14ac:dyDescent="0.3">
      <c r="A384" s="47" t="s">
        <v>512</v>
      </c>
      <c r="B384" s="12"/>
      <c r="C384" t="s">
        <v>521</v>
      </c>
      <c r="D384" t="s">
        <v>522</v>
      </c>
      <c r="E384" s="8">
        <f>7395*2.47</f>
        <v>18265.650000000001</v>
      </c>
      <c r="F384" s="13">
        <f t="shared" si="23"/>
        <v>0.14979757085020251</v>
      </c>
      <c r="G384" s="3">
        <f>+E384/2.47</f>
        <v>7395</v>
      </c>
      <c r="H384" s="9"/>
      <c r="N384" s="9">
        <f>8.5^2*PI()*6*1.05</f>
        <v>1429.974436097734</v>
      </c>
      <c r="O384" s="9"/>
      <c r="P384" s="9"/>
      <c r="Q384" s="9"/>
    </row>
    <row r="385" spans="1:17" x14ac:dyDescent="0.3">
      <c r="A385" s="47" t="s">
        <v>512</v>
      </c>
      <c r="B385" s="12"/>
      <c r="C385" s="12" t="s">
        <v>900</v>
      </c>
      <c r="D385" s="12" t="s">
        <v>901</v>
      </c>
      <c r="E385" s="8">
        <f>+Tabella52[[#This Row],[Imponibile]]*2.47</f>
        <v>16586.050000000003</v>
      </c>
      <c r="F385" s="13">
        <f t="shared" si="23"/>
        <v>0.14979757085020262</v>
      </c>
      <c r="G385" s="3">
        <v>6715</v>
      </c>
      <c r="H385" s="9"/>
      <c r="N385" s="9">
        <f>2*0.6*1*1000</f>
        <v>1200</v>
      </c>
      <c r="O385" s="9"/>
      <c r="P385" s="9"/>
      <c r="Q385" s="9"/>
    </row>
    <row r="386" spans="1:17" x14ac:dyDescent="0.3">
      <c r="A386" s="47" t="s">
        <v>512</v>
      </c>
      <c r="C386" s="40" t="s">
        <v>523</v>
      </c>
      <c r="D386" s="40" t="s">
        <v>524</v>
      </c>
      <c r="E386" s="8">
        <f>9861*2.47</f>
        <v>24356.670000000002</v>
      </c>
      <c r="F386" s="13">
        <f t="shared" si="23"/>
        <v>0.1497975708502024</v>
      </c>
      <c r="G386" s="3">
        <f>+E386/2.47</f>
        <v>9861</v>
      </c>
      <c r="H386" s="9"/>
      <c r="N386" s="9">
        <v>2000</v>
      </c>
      <c r="O386" s="9"/>
      <c r="P386" s="9"/>
      <c r="Q386" s="9"/>
    </row>
    <row r="387" spans="1:17" s="40" customFormat="1" x14ac:dyDescent="0.3">
      <c r="A387" s="47" t="s">
        <v>512</v>
      </c>
      <c r="C387" s="40" t="s">
        <v>513</v>
      </c>
      <c r="D387" s="40" t="s">
        <v>514</v>
      </c>
      <c r="E387" s="8">
        <f>818*2.47</f>
        <v>2020.4600000000003</v>
      </c>
      <c r="F387" s="13">
        <f t="shared" si="23"/>
        <v>0.1497975708502024</v>
      </c>
      <c r="G387" s="3">
        <f>+E387/2.47</f>
        <v>818</v>
      </c>
      <c r="H387" s="9"/>
      <c r="N387" s="9">
        <f>2^2*PI()*3.2</f>
        <v>40.212385965949352</v>
      </c>
      <c r="O387" s="9"/>
      <c r="P387" s="9"/>
      <c r="Q387" s="9"/>
    </row>
    <row r="388" spans="1:17" s="40" customFormat="1" x14ac:dyDescent="0.3">
      <c r="A388" s="47" t="s">
        <v>512</v>
      </c>
      <c r="C388" s="40" t="s">
        <v>515</v>
      </c>
      <c r="D388" s="40" t="s">
        <v>516</v>
      </c>
      <c r="E388" s="8">
        <f>1034*2.47</f>
        <v>2553.98</v>
      </c>
      <c r="F388" s="13">
        <f t="shared" si="23"/>
        <v>0.1497975708502024</v>
      </c>
      <c r="G388" s="3">
        <f>+E388/2.47</f>
        <v>1034</v>
      </c>
      <c r="H388" s="9"/>
      <c r="N388" s="9">
        <f>3^2*PI()*5</f>
        <v>141.37166941154069</v>
      </c>
      <c r="O388" s="9"/>
      <c r="P388" s="9"/>
      <c r="Q388" s="9"/>
    </row>
    <row r="389" spans="1:17" s="40" customFormat="1" x14ac:dyDescent="0.3">
      <c r="A389" s="47" t="s">
        <v>512</v>
      </c>
      <c r="C389" s="40" t="s">
        <v>525</v>
      </c>
      <c r="D389" s="40" t="s">
        <v>526</v>
      </c>
      <c r="E389" s="8">
        <f>+G389*2.47</f>
        <v>975.65000000000009</v>
      </c>
      <c r="F389" s="13">
        <f t="shared" si="23"/>
        <v>0.14979757085020251</v>
      </c>
      <c r="G389" s="3">
        <v>395</v>
      </c>
      <c r="H389" s="9"/>
      <c r="N389" s="9">
        <f>1^2*PI()*20</f>
        <v>62.831853071795862</v>
      </c>
      <c r="O389" s="9"/>
      <c r="P389" s="9"/>
      <c r="Q389" s="9"/>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22" workbookViewId="0">
      <selection activeCell="C29" sqref="A1:F29"/>
    </sheetView>
  </sheetViews>
  <sheetFormatPr defaultColWidth="9.109375" defaultRowHeight="14.4" x14ac:dyDescent="0.3"/>
  <cols>
    <col min="1" max="1" width="9.109375" style="51"/>
    <col min="2" max="2" width="20.77734375" style="51" bestFit="1" customWidth="1"/>
    <col min="3" max="3" width="30.21875" style="51" customWidth="1"/>
    <col min="4" max="4" width="9" style="51" bestFit="1" customWidth="1"/>
    <col min="5" max="5" width="19" style="51" bestFit="1" customWidth="1"/>
    <col min="6" max="6" width="12" style="51" bestFit="1" customWidth="1"/>
    <col min="7" max="16384" width="9.109375" style="51"/>
  </cols>
  <sheetData>
    <row r="1" spans="1:6" x14ac:dyDescent="0.3">
      <c r="C1" s="56" t="s">
        <v>902</v>
      </c>
      <c r="D1" s="56" t="s">
        <v>904</v>
      </c>
      <c r="E1" s="56" t="s">
        <v>906</v>
      </c>
      <c r="F1" s="56" t="s">
        <v>808</v>
      </c>
    </row>
    <row r="2" spans="1:6" x14ac:dyDescent="0.3">
      <c r="C2" s="56" t="s">
        <v>903</v>
      </c>
      <c r="D2" s="56" t="s">
        <v>905</v>
      </c>
      <c r="E2" s="56" t="s">
        <v>907</v>
      </c>
      <c r="F2" s="56" t="s">
        <v>908</v>
      </c>
    </row>
    <row r="3" spans="1:6" x14ac:dyDescent="0.3">
      <c r="A3" s="69" t="s">
        <v>909</v>
      </c>
      <c r="B3" s="54" t="s">
        <v>18</v>
      </c>
      <c r="C3" s="55">
        <f ca="1">+SUMIF('Listino 2016'!C:R,Foglio1!B3,'Listino 2016'!K:K)</f>
        <v>0.4</v>
      </c>
      <c r="D3" s="56">
        <f ca="1">+SUMIF('Listino 2016'!C:R,Foglio1!B3,'Listino 2016'!H:H)</f>
        <v>1</v>
      </c>
      <c r="E3" s="55">
        <f ca="1">+SUMIF('Listino 2016'!C:R,Foglio1!B3,'Listino 2016'!L:L)</f>
        <v>12</v>
      </c>
      <c r="F3" s="57">
        <v>244.97953999999999</v>
      </c>
    </row>
    <row r="4" spans="1:6" x14ac:dyDescent="0.3">
      <c r="A4" s="69"/>
      <c r="B4" s="54" t="s">
        <v>20</v>
      </c>
      <c r="C4" s="55">
        <f ca="1">+SUMIF('Listino 2016'!C:R,Foglio1!B4,'Listino 2016'!K:K)</f>
        <v>0.8</v>
      </c>
      <c r="D4" s="56">
        <f ca="1">+SUMIF('Listino 2016'!C:R,Foglio1!B4,'Listino 2016'!H:H)</f>
        <v>1</v>
      </c>
      <c r="E4" s="55">
        <f ca="1">+SUMIF('Listino 2016'!C:R,Foglio1!B4,'Listino 2016'!L:L)</f>
        <v>18</v>
      </c>
      <c r="F4" s="57">
        <v>303.62475000000001</v>
      </c>
    </row>
    <row r="5" spans="1:6" x14ac:dyDescent="0.3">
      <c r="A5" s="69"/>
      <c r="B5" s="54" t="s">
        <v>24</v>
      </c>
      <c r="C5" s="55">
        <f ca="1">+SUMIF('Listino 2016'!C:R,Foglio1!B5,'Listino 2016'!K:K)</f>
        <v>1.4</v>
      </c>
      <c r="D5" s="56">
        <f ca="1">+SUMIF('Listino 2016'!C:R,Foglio1!B5,'Listino 2016'!H:H)</f>
        <v>1</v>
      </c>
      <c r="E5" s="55">
        <f ca="1">+SUMIF('Listino 2016'!C:R,Foglio1!B5,'Listino 2016'!L:L)</f>
        <v>33</v>
      </c>
      <c r="F5" s="57">
        <v>637.72683000000006</v>
      </c>
    </row>
    <row r="6" spans="1:6" x14ac:dyDescent="0.3">
      <c r="A6" s="69"/>
      <c r="B6" s="54" t="s">
        <v>26</v>
      </c>
      <c r="C6" s="55">
        <f ca="1">+SUMIF('Listino 2016'!C:R,Foglio1!B6,'Listino 2016'!K:K)</f>
        <v>2.5</v>
      </c>
      <c r="D6" s="56">
        <f ca="1">+SUMIF('Listino 2016'!C:R,Foglio1!B6,'Listino 2016'!H:H)</f>
        <v>1</v>
      </c>
      <c r="E6" s="55">
        <f ca="1">+SUMIF('Listino 2016'!C:R,Foglio1!B6,'Listino 2016'!L:L)</f>
        <v>44</v>
      </c>
      <c r="F6" s="57">
        <v>913.29485000000011</v>
      </c>
    </row>
    <row r="7" spans="1:6" x14ac:dyDescent="0.3">
      <c r="B7" s="49"/>
      <c r="C7" s="52"/>
      <c r="F7" s="53"/>
    </row>
    <row r="8" spans="1:6" x14ac:dyDescent="0.3">
      <c r="A8" s="69" t="s">
        <v>910</v>
      </c>
      <c r="B8" s="54" t="s">
        <v>28</v>
      </c>
      <c r="C8" s="55">
        <f ca="1">+SUMIF('Listino 2016'!C:R,Foglio1!B8,'Listino 2016'!K:K)</f>
        <v>4</v>
      </c>
      <c r="D8" s="56">
        <f ca="1">+SUMIF('Listino 2016'!C:R,Foglio1!B8,'Listino 2016'!H:H)</f>
        <v>2</v>
      </c>
      <c r="E8" s="55">
        <f ca="1">+SUMIF('Listino 2016'!C:R,Foglio1!B8,'Listino 2016'!L:L)</f>
        <v>88</v>
      </c>
      <c r="F8" s="57">
        <v>2104.6598300000005</v>
      </c>
    </row>
    <row r="9" spans="1:6" x14ac:dyDescent="0.3">
      <c r="A9" s="69"/>
      <c r="B9" s="54" t="s">
        <v>30</v>
      </c>
      <c r="C9" s="55">
        <f ca="1">+SUMIF('Listino 2016'!C:R,Foglio1!B9,'Listino 2016'!K:K)</f>
        <v>10</v>
      </c>
      <c r="D9" s="56">
        <f ca="1">+SUMIF('Listino 2016'!C:R,Foglio1!B9,'Listino 2016'!H:H)</f>
        <v>4</v>
      </c>
      <c r="E9" s="55">
        <f ca="1">+SUMIF('Listino 2016'!C:R,Foglio1!B9,'Listino 2016'!L:L)</f>
        <v>176</v>
      </c>
      <c r="F9" s="57">
        <v>2813.43127</v>
      </c>
    </row>
    <row r="10" spans="1:6" x14ac:dyDescent="0.3">
      <c r="B10" s="49"/>
      <c r="C10" s="52"/>
      <c r="F10" s="53"/>
    </row>
    <row r="11" spans="1:6" x14ac:dyDescent="0.3">
      <c r="A11" s="69" t="s">
        <v>911</v>
      </c>
      <c r="B11" s="54" t="s">
        <v>32</v>
      </c>
      <c r="C11" s="55">
        <f ca="1">+SUMIF('Listino 2016'!C:R,Foglio1!B11,'Listino 2016'!K:K)</f>
        <v>10</v>
      </c>
      <c r="D11" s="56">
        <f ca="1">+SUMIF('Listino 2016'!C:R,Foglio1!B11,'Listino 2016'!H:H)</f>
        <v>4</v>
      </c>
      <c r="E11" s="55">
        <f ca="1">+SUMIF('Listino 2016'!C:R,Foglio1!B11,'Listino 2016'!L:L)</f>
        <v>176</v>
      </c>
      <c r="F11" s="57">
        <v>3211.8916700000004</v>
      </c>
    </row>
    <row r="12" spans="1:6" x14ac:dyDescent="0.3">
      <c r="A12" s="69"/>
      <c r="B12" s="54" t="s">
        <v>34</v>
      </c>
      <c r="C12" s="55">
        <f ca="1">+SUMIF('Listino 2016'!C:R,Foglio1!B12,'Listino 2016'!K:K)</f>
        <v>26</v>
      </c>
      <c r="D12" s="56">
        <f ca="1">+SUMIF('Listino 2016'!C:R,Foglio1!B12,'Listino 2016'!H:H)</f>
        <v>4</v>
      </c>
      <c r="E12" s="55">
        <f ca="1">+SUMIF('Listino 2016'!C:R,Foglio1!B12,'Listino 2016'!L:L)</f>
        <v>330</v>
      </c>
      <c r="F12" s="57">
        <v>5622.685770000001</v>
      </c>
    </row>
    <row r="13" spans="1:6" x14ac:dyDescent="0.3">
      <c r="A13" s="69"/>
      <c r="B13" s="54" t="s">
        <v>36</v>
      </c>
      <c r="C13" s="55">
        <f ca="1">+SUMIF('Listino 2016'!C:R,Foglio1!B13,'Listino 2016'!K:K)</f>
        <v>45</v>
      </c>
      <c r="D13" s="56">
        <f ca="1">+SUMIF('Listino 2016'!C:R,Foglio1!B13,'Listino 2016'!H:H)</f>
        <v>5</v>
      </c>
      <c r="E13" s="55">
        <f ca="1">+SUMIF('Listino 2016'!C:R,Foglio1!B13,'Listino 2016'!L:L)</f>
        <v>413</v>
      </c>
      <c r="F13" s="57">
        <v>6161.3507800000007</v>
      </c>
    </row>
    <row r="14" spans="1:6" x14ac:dyDescent="0.3">
      <c r="A14" s="69"/>
      <c r="B14" s="54" t="s">
        <v>40</v>
      </c>
      <c r="C14" s="55">
        <f ca="1">+SUMIF('Listino 2016'!C:R,Foglio1!B14,'Listino 2016'!K:K)</f>
        <v>75</v>
      </c>
      <c r="D14" s="56">
        <f ca="1">+SUMIF('Listino 2016'!C:R,Foglio1!B14,'Listino 2016'!H:H)</f>
        <v>6</v>
      </c>
      <c r="E14" s="55">
        <f ca="1">+SUMIF('Listino 2016'!C:R,Foglio1!B14,'Listino 2016'!L:L)</f>
        <v>495.00000000000006</v>
      </c>
      <c r="F14" s="57">
        <v>6510.2950900000005</v>
      </c>
    </row>
    <row r="15" spans="1:6" x14ac:dyDescent="0.3">
      <c r="A15" s="69"/>
      <c r="B15" s="54" t="s">
        <v>44</v>
      </c>
      <c r="C15" s="55">
        <f ca="1">+SUMIF('Listino 2016'!C:R,Foglio1!B15,'Listino 2016'!K:K)</f>
        <v>140</v>
      </c>
      <c r="D15" s="56">
        <f ca="1">+SUMIF('Listino 2016'!C:R,Foglio1!B15,'Listino 2016'!H:H)</f>
        <v>8</v>
      </c>
      <c r="E15" s="55">
        <f ca="1">+SUMIF('Listino 2016'!C:R,Foglio1!B15,'Listino 2016'!L:L)</f>
        <v>1276</v>
      </c>
      <c r="F15" s="57">
        <v>8829.1310900000008</v>
      </c>
    </row>
    <row r="16" spans="1:6" x14ac:dyDescent="0.3">
      <c r="B16" s="49"/>
      <c r="C16" s="52"/>
      <c r="F16" s="53"/>
    </row>
    <row r="17" spans="1:6" x14ac:dyDescent="0.3">
      <c r="A17" s="69" t="s">
        <v>912</v>
      </c>
      <c r="B17" s="54" t="s">
        <v>46</v>
      </c>
      <c r="C17" s="55">
        <f ca="1">+SUMIF('Listino 2016'!C:R,Foglio1!B17,'Listino 2016'!K:K)</f>
        <v>60</v>
      </c>
      <c r="D17" s="56">
        <f ca="1">+SUMIF('Listino 2016'!C:R,Foglio1!B17,'Listino 2016'!H:H)</f>
        <v>2</v>
      </c>
      <c r="E17" s="55">
        <f ca="1">+SUMIF('Listino 2016'!C:R,Foglio1!B17,'Listino 2016'!L:L)</f>
        <v>440</v>
      </c>
      <c r="F17" s="58">
        <v>7400</v>
      </c>
    </row>
    <row r="18" spans="1:6" x14ac:dyDescent="0.3">
      <c r="A18" s="69"/>
      <c r="B18" s="54" t="s">
        <v>48</v>
      </c>
      <c r="C18" s="55">
        <f ca="1">+SUMIF('Listino 2016'!C:R,Foglio1!B18,'Listino 2016'!K:K)</f>
        <v>110</v>
      </c>
      <c r="D18" s="56">
        <f ca="1">+SUMIF('Listino 2016'!C:R,Foglio1!B18,'Listino 2016'!H:H)</f>
        <v>2</v>
      </c>
      <c r="E18" s="55">
        <f ca="1">+SUMIF('Listino 2016'!C:R,Foglio1!B18,'Listino 2016'!L:L)</f>
        <v>880</v>
      </c>
      <c r="F18" s="58">
        <v>12000</v>
      </c>
    </row>
    <row r="19" spans="1:6" x14ac:dyDescent="0.3">
      <c r="A19" s="69"/>
      <c r="B19" s="54" t="s">
        <v>50</v>
      </c>
      <c r="C19" s="55">
        <f ca="1">+SUMIF('Listino 2016'!C:R,Foglio1!B19,'Listino 2016'!K:K)</f>
        <v>150</v>
      </c>
      <c r="D19" s="56">
        <f ca="1">+SUMIF('Listino 2016'!C:R,Foglio1!B19,'Listino 2016'!H:H)</f>
        <v>3</v>
      </c>
      <c r="E19" s="55">
        <f ca="1">+SUMIF('Listino 2016'!C:R,Foglio1!B19,'Listino 2016'!L:L)</f>
        <v>1300</v>
      </c>
      <c r="F19" s="58">
        <v>15000</v>
      </c>
    </row>
    <row r="20" spans="1:6" x14ac:dyDescent="0.3">
      <c r="A20" s="69"/>
      <c r="B20" s="54" t="s">
        <v>52</v>
      </c>
      <c r="C20" s="55">
        <f ca="1">+SUMIF('Listino 2016'!C:R,Foglio1!B20,'Listino 2016'!K:K)</f>
        <v>250</v>
      </c>
      <c r="D20" s="56">
        <f ca="1">+SUMIF('Listino 2016'!C:R,Foglio1!B20,'Listino 2016'!H:H)</f>
        <v>4</v>
      </c>
      <c r="E20" s="55">
        <f ca="1">+SUMIF('Listino 2016'!C:R,Foglio1!B20,'Listino 2016'!L:L)</f>
        <v>1760</v>
      </c>
      <c r="F20" s="58">
        <v>18260</v>
      </c>
    </row>
    <row r="21" spans="1:6" x14ac:dyDescent="0.3">
      <c r="A21" s="69"/>
      <c r="B21" s="54" t="s">
        <v>54</v>
      </c>
      <c r="C21" s="55">
        <f ca="1">+SUMIF('Listino 2016'!C:R,Foglio1!B21,'Listino 2016'!K:K)</f>
        <v>340</v>
      </c>
      <c r="D21" s="56">
        <f ca="1">+SUMIF('Listino 2016'!C:R,Foglio1!B21,'Listino 2016'!H:H)</f>
        <v>5</v>
      </c>
      <c r="E21" s="55">
        <f ca="1">+SUMIF('Listino 2016'!C:R,Foglio1!B21,'Listino 2016'!L:L)</f>
        <v>2180</v>
      </c>
      <c r="F21" s="58">
        <v>20900</v>
      </c>
    </row>
    <row r="22" spans="1:6" x14ac:dyDescent="0.3">
      <c r="A22" s="69"/>
      <c r="B22" s="54" t="s">
        <v>56</v>
      </c>
      <c r="C22" s="55">
        <f ca="1">+SUMIF('Listino 2016'!C:R,Foglio1!B22,'Listino 2016'!K:K)</f>
        <v>470</v>
      </c>
      <c r="D22" s="56">
        <f ca="1">+SUMIF('Listino 2016'!C:R,Foglio1!B22,'Listino 2016'!H:H)</f>
        <v>7</v>
      </c>
      <c r="E22" s="55">
        <f ca="1">+SUMIF('Listino 2016'!C:R,Foglio1!B22,'Listino 2016'!L:L)</f>
        <v>3100</v>
      </c>
      <c r="F22" s="58">
        <v>26400</v>
      </c>
    </row>
    <row r="24" spans="1:6" x14ac:dyDescent="0.3">
      <c r="B24" s="65" t="s">
        <v>913</v>
      </c>
      <c r="C24" s="66"/>
      <c r="D24" s="66"/>
      <c r="E24" s="67"/>
      <c r="F24" s="59">
        <v>494.00000000000006</v>
      </c>
    </row>
    <row r="25" spans="1:6" x14ac:dyDescent="0.3">
      <c r="B25" s="65" t="s">
        <v>914</v>
      </c>
      <c r="C25" s="66"/>
      <c r="D25" s="66"/>
      <c r="E25" s="67"/>
      <c r="F25" s="59">
        <v>613.94320000000005</v>
      </c>
    </row>
    <row r="26" spans="1:6" x14ac:dyDescent="0.3">
      <c r="B26" s="65" t="s">
        <v>915</v>
      </c>
      <c r="C26" s="66"/>
      <c r="D26" s="66"/>
      <c r="E26" s="67"/>
      <c r="F26" s="59">
        <v>705.8519</v>
      </c>
    </row>
    <row r="28" spans="1:6" ht="30" customHeight="1" x14ac:dyDescent="0.3">
      <c r="B28" s="60" t="s">
        <v>918</v>
      </c>
      <c r="C28" s="68" t="s">
        <v>920</v>
      </c>
      <c r="D28" s="68"/>
      <c r="E28" s="68"/>
      <c r="F28" s="68"/>
    </row>
    <row r="29" spans="1:6" ht="30" customHeight="1" x14ac:dyDescent="0.3">
      <c r="C29" s="68" t="s">
        <v>919</v>
      </c>
      <c r="D29" s="68"/>
      <c r="E29" s="68"/>
      <c r="F29" s="68"/>
    </row>
  </sheetData>
  <mergeCells count="9">
    <mergeCell ref="B26:E26"/>
    <mergeCell ref="C28:F28"/>
    <mergeCell ref="C29:F29"/>
    <mergeCell ref="A3:A6"/>
    <mergeCell ref="A8:A9"/>
    <mergeCell ref="A11:A15"/>
    <mergeCell ref="A17:A22"/>
    <mergeCell ref="B24:E24"/>
    <mergeCell ref="B25:E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topLeftCell="A13" workbookViewId="0">
      <selection activeCell="A13" sqref="A13:E19"/>
    </sheetView>
  </sheetViews>
  <sheetFormatPr defaultRowHeight="14.4" x14ac:dyDescent="0.3"/>
  <cols>
    <col min="1" max="1" width="8.88671875" style="73"/>
    <col min="2" max="2" width="19.6640625" style="73" bestFit="1" customWidth="1"/>
    <col min="3" max="3" width="13.88671875" style="73" bestFit="1" customWidth="1"/>
    <col min="4" max="4" width="8.88671875" style="73"/>
    <col min="5" max="5" width="21.77734375" style="73" bestFit="1" customWidth="1"/>
    <col min="6" max="16384" width="8.88671875" style="73"/>
  </cols>
  <sheetData>
    <row r="1" spans="1:5" ht="16.2" x14ac:dyDescent="0.3">
      <c r="A1" s="82" t="s">
        <v>922</v>
      </c>
      <c r="B1" s="83" t="s">
        <v>925</v>
      </c>
      <c r="C1" s="84" t="s">
        <v>923</v>
      </c>
      <c r="D1" s="84" t="s">
        <v>904</v>
      </c>
      <c r="E1" s="85" t="s">
        <v>906</v>
      </c>
    </row>
    <row r="2" spans="1:5" ht="16.8" thickBot="1" x14ac:dyDescent="0.35">
      <c r="A2" s="86"/>
      <c r="B2" s="87"/>
      <c r="C2" s="88" t="s">
        <v>924</v>
      </c>
      <c r="D2" s="88" t="s">
        <v>905</v>
      </c>
      <c r="E2" s="89" t="s">
        <v>907</v>
      </c>
    </row>
    <row r="3" spans="1:5" x14ac:dyDescent="0.3">
      <c r="A3" s="78" t="s">
        <v>909</v>
      </c>
      <c r="B3" s="79" t="s">
        <v>18</v>
      </c>
      <c r="C3" s="80">
        <f ca="1">+SUMIF('Listino 2016'!C:R,Foglio1!B3,'Listino 2016'!K:K)</f>
        <v>0.4</v>
      </c>
      <c r="D3" s="81">
        <f ca="1">+SUMIF('Listino 2016'!C:R,Foglio1!B3,'Listino 2016'!H:H)</f>
        <v>1</v>
      </c>
      <c r="E3" s="80">
        <f ca="1">+SUMIF('Listino 2016'!C:R,Foglio1!B3,'Listino 2016'!L:L)</f>
        <v>12</v>
      </c>
    </row>
    <row r="4" spans="1:5" x14ac:dyDescent="0.3">
      <c r="A4" s="69"/>
      <c r="B4" s="76" t="s">
        <v>20</v>
      </c>
      <c r="C4" s="74">
        <f ca="1">+SUMIF('Listino 2016'!C:R,Foglio1!B4,'Listino 2016'!K:K)</f>
        <v>0.8</v>
      </c>
      <c r="D4" s="64">
        <f ca="1">+SUMIF('Listino 2016'!C:R,Foglio1!B4,'Listino 2016'!H:H)</f>
        <v>1</v>
      </c>
      <c r="E4" s="74">
        <f ca="1">+SUMIF('Listino 2016'!C:R,Foglio1!B4,'Listino 2016'!L:L)</f>
        <v>18</v>
      </c>
    </row>
    <row r="5" spans="1:5" x14ac:dyDescent="0.3">
      <c r="A5" s="69"/>
      <c r="B5" s="76" t="s">
        <v>24</v>
      </c>
      <c r="C5" s="74">
        <f ca="1">+SUMIF('Listino 2016'!C:R,Foglio1!B5,'Listino 2016'!K:K)</f>
        <v>1.4</v>
      </c>
      <c r="D5" s="64">
        <f ca="1">+SUMIF('Listino 2016'!C:R,Foglio1!B5,'Listino 2016'!H:H)</f>
        <v>1</v>
      </c>
      <c r="E5" s="74">
        <f ca="1">+SUMIF('Listino 2016'!C:R,Foglio1!B5,'Listino 2016'!L:L)</f>
        <v>33</v>
      </c>
    </row>
    <row r="6" spans="1:5" x14ac:dyDescent="0.3">
      <c r="A6" s="69"/>
      <c r="B6" s="76" t="s">
        <v>26</v>
      </c>
      <c r="C6" s="74">
        <f ca="1">+SUMIF('Listino 2016'!C:R,Foglio1!B6,'Listino 2016'!K:K)</f>
        <v>2.5</v>
      </c>
      <c r="D6" s="64">
        <f ca="1">+SUMIF('Listino 2016'!C:R,Foglio1!B6,'Listino 2016'!H:H)</f>
        <v>1</v>
      </c>
      <c r="E6" s="74">
        <f ca="1">+SUMIF('Listino 2016'!C:R,Foglio1!B6,'Listino 2016'!L:L)</f>
        <v>44</v>
      </c>
    </row>
    <row r="7" spans="1:5" ht="15" thickBot="1" x14ac:dyDescent="0.35">
      <c r="A7" s="72"/>
      <c r="B7" s="77"/>
      <c r="C7" s="75"/>
      <c r="D7" s="72"/>
      <c r="E7" s="75"/>
    </row>
    <row r="8" spans="1:5" ht="16.2" x14ac:dyDescent="0.3">
      <c r="A8" s="82" t="s">
        <v>922</v>
      </c>
      <c r="B8" s="83" t="s">
        <v>925</v>
      </c>
      <c r="C8" s="84" t="s">
        <v>923</v>
      </c>
      <c r="D8" s="84" t="s">
        <v>904</v>
      </c>
      <c r="E8" s="85" t="s">
        <v>906</v>
      </c>
    </row>
    <row r="9" spans="1:5" ht="16.8" thickBot="1" x14ac:dyDescent="0.35">
      <c r="A9" s="86"/>
      <c r="B9" s="87"/>
      <c r="C9" s="88" t="s">
        <v>924</v>
      </c>
      <c r="D9" s="88" t="s">
        <v>905</v>
      </c>
      <c r="E9" s="89" t="s">
        <v>907</v>
      </c>
    </row>
    <row r="10" spans="1:5" x14ac:dyDescent="0.3">
      <c r="A10" s="90" t="s">
        <v>910</v>
      </c>
      <c r="B10" s="76" t="s">
        <v>28</v>
      </c>
      <c r="C10" s="74">
        <f ca="1">+SUMIF('Listino 2016'!C:R,Foglio1!B8,'Listino 2016'!K:K)</f>
        <v>4</v>
      </c>
      <c r="D10" s="64">
        <f ca="1">+SUMIF('Listino 2016'!C:R,Foglio1!B8,'Listino 2016'!H:H)</f>
        <v>2</v>
      </c>
      <c r="E10" s="91">
        <f ca="1">+SUMIF('Listino 2016'!C:R,Foglio1!B8,'Listino 2016'!L:L)</f>
        <v>88</v>
      </c>
    </row>
    <row r="11" spans="1:5" ht="15" thickBot="1" x14ac:dyDescent="0.35">
      <c r="A11" s="92"/>
      <c r="B11" s="93" t="s">
        <v>30</v>
      </c>
      <c r="C11" s="94">
        <f ca="1">+SUMIF('Listino 2016'!C:R,Foglio1!B9,'Listino 2016'!K:K)</f>
        <v>10</v>
      </c>
      <c r="D11" s="88">
        <f ca="1">+SUMIF('Listino 2016'!C:R,Foglio1!B9,'Listino 2016'!H:H)</f>
        <v>4</v>
      </c>
      <c r="E11" s="95">
        <f ca="1">+SUMIF('Listino 2016'!C:R,Foglio1!B9,'Listino 2016'!L:L)</f>
        <v>176</v>
      </c>
    </row>
    <row r="12" spans="1:5" ht="15" thickBot="1" x14ac:dyDescent="0.35">
      <c r="A12" s="72"/>
      <c r="B12" s="77"/>
      <c r="C12" s="75"/>
      <c r="D12" s="72"/>
      <c r="E12" s="75"/>
    </row>
    <row r="13" spans="1:5" ht="16.2" x14ac:dyDescent="0.3">
      <c r="A13" s="82" t="s">
        <v>922</v>
      </c>
      <c r="B13" s="83" t="s">
        <v>925</v>
      </c>
      <c r="C13" s="84" t="s">
        <v>923</v>
      </c>
      <c r="D13" s="84" t="s">
        <v>904</v>
      </c>
      <c r="E13" s="85" t="s">
        <v>906</v>
      </c>
    </row>
    <row r="14" spans="1:5" ht="16.8" thickBot="1" x14ac:dyDescent="0.35">
      <c r="A14" s="86"/>
      <c r="B14" s="87"/>
      <c r="C14" s="88" t="s">
        <v>924</v>
      </c>
      <c r="D14" s="88" t="s">
        <v>905</v>
      </c>
      <c r="E14" s="89" t="s">
        <v>907</v>
      </c>
    </row>
    <row r="15" spans="1:5" x14ac:dyDescent="0.3">
      <c r="A15" s="90" t="s">
        <v>911</v>
      </c>
      <c r="B15" s="76" t="s">
        <v>32</v>
      </c>
      <c r="C15" s="74">
        <f ca="1">+SUMIF('Listino 2016'!C:R,Foglio1!B11,'Listino 2016'!K:K)</f>
        <v>10</v>
      </c>
      <c r="D15" s="64">
        <f ca="1">+SUMIF('Listino 2016'!C:R,Foglio1!B11,'Listino 2016'!H:H)</f>
        <v>4</v>
      </c>
      <c r="E15" s="91">
        <f ca="1">+SUMIF('Listino 2016'!C:R,Foglio1!B11,'Listino 2016'!L:L)</f>
        <v>176</v>
      </c>
    </row>
    <row r="16" spans="1:5" x14ac:dyDescent="0.3">
      <c r="A16" s="90"/>
      <c r="B16" s="76" t="s">
        <v>34</v>
      </c>
      <c r="C16" s="74">
        <f ca="1">+SUMIF('Listino 2016'!C:R,Foglio1!B12,'Listino 2016'!K:K)</f>
        <v>26</v>
      </c>
      <c r="D16" s="64">
        <f ca="1">+SUMIF('Listino 2016'!C:R,Foglio1!B12,'Listino 2016'!H:H)</f>
        <v>4</v>
      </c>
      <c r="E16" s="91">
        <f ca="1">+SUMIF('Listino 2016'!C:R,Foglio1!B12,'Listino 2016'!L:L)</f>
        <v>330</v>
      </c>
    </row>
    <row r="17" spans="1:5" x14ac:dyDescent="0.3">
      <c r="A17" s="90"/>
      <c r="B17" s="76" t="s">
        <v>36</v>
      </c>
      <c r="C17" s="74">
        <f ca="1">+SUMIF('Listino 2016'!C:R,Foglio1!B13,'Listino 2016'!K:K)</f>
        <v>45</v>
      </c>
      <c r="D17" s="64">
        <f ca="1">+SUMIF('Listino 2016'!C:R,Foglio1!B13,'Listino 2016'!H:H)</f>
        <v>5</v>
      </c>
      <c r="E17" s="91">
        <f ca="1">+SUMIF('Listino 2016'!C:R,Foglio1!B13,'Listino 2016'!L:L)</f>
        <v>413</v>
      </c>
    </row>
    <row r="18" spans="1:5" x14ac:dyDescent="0.3">
      <c r="A18" s="90"/>
      <c r="B18" s="76" t="s">
        <v>40</v>
      </c>
      <c r="C18" s="74">
        <f ca="1">+SUMIF('Listino 2016'!C:R,Foglio1!B14,'Listino 2016'!K:K)</f>
        <v>75</v>
      </c>
      <c r="D18" s="64">
        <f ca="1">+SUMIF('Listino 2016'!C:R,Foglio1!B14,'Listino 2016'!H:H)</f>
        <v>6</v>
      </c>
      <c r="E18" s="91">
        <f ca="1">+SUMIF('Listino 2016'!C:R,Foglio1!B14,'Listino 2016'!L:L)</f>
        <v>495.00000000000006</v>
      </c>
    </row>
    <row r="19" spans="1:5" ht="15" thickBot="1" x14ac:dyDescent="0.35">
      <c r="A19" s="92"/>
      <c r="B19" s="93" t="s">
        <v>44</v>
      </c>
      <c r="C19" s="94">
        <f ca="1">+SUMIF('Listino 2016'!C:R,Foglio1!B15,'Listino 2016'!K:K)</f>
        <v>140</v>
      </c>
      <c r="D19" s="88">
        <f ca="1">+SUMIF('Listino 2016'!C:R,Foglio1!B15,'Listino 2016'!H:H)</f>
        <v>8</v>
      </c>
      <c r="E19" s="95">
        <f ca="1">+SUMIF('Listino 2016'!C:R,Foglio1!B15,'Listino 2016'!L:L)</f>
        <v>1276</v>
      </c>
    </row>
    <row r="20" spans="1:5" ht="15" thickBot="1" x14ac:dyDescent="0.35">
      <c r="A20" s="72"/>
      <c r="B20" s="77"/>
      <c r="C20" s="75"/>
      <c r="D20" s="72"/>
      <c r="E20" s="75"/>
    </row>
    <row r="21" spans="1:5" ht="16.2" x14ac:dyDescent="0.3">
      <c r="A21" s="82" t="s">
        <v>922</v>
      </c>
      <c r="B21" s="83" t="s">
        <v>925</v>
      </c>
      <c r="C21" s="84" t="s">
        <v>923</v>
      </c>
      <c r="D21" s="84" t="s">
        <v>904</v>
      </c>
      <c r="E21" s="85" t="s">
        <v>926</v>
      </c>
    </row>
    <row r="22" spans="1:5" ht="16.8" thickBot="1" x14ac:dyDescent="0.35">
      <c r="A22" s="86"/>
      <c r="B22" s="87"/>
      <c r="C22" s="88" t="s">
        <v>924</v>
      </c>
      <c r="D22" s="88" t="s">
        <v>905</v>
      </c>
      <c r="E22" s="89" t="s">
        <v>927</v>
      </c>
    </row>
    <row r="23" spans="1:5" x14ac:dyDescent="0.3">
      <c r="A23" s="69" t="s">
        <v>912</v>
      </c>
      <c r="B23" s="76" t="s">
        <v>46</v>
      </c>
      <c r="C23" s="74">
        <f ca="1">+SUMIF('Listino 2016'!C:R,Foglio1!B17,'Listino 2016'!K:K)</f>
        <v>60</v>
      </c>
      <c r="D23" s="64">
        <f ca="1">+SUMIF('Listino 2016'!C:R,Foglio1!B17,'Listino 2016'!H:H)</f>
        <v>2</v>
      </c>
      <c r="E23" s="74">
        <f ca="1">+SUMIF('Listino 2016'!C:R,Foglio1!B17,'Listino 2016'!L:L)</f>
        <v>440</v>
      </c>
    </row>
    <row r="24" spans="1:5" x14ac:dyDescent="0.3">
      <c r="A24" s="69"/>
      <c r="B24" s="76" t="s">
        <v>48</v>
      </c>
      <c r="C24" s="74">
        <f ca="1">+SUMIF('Listino 2016'!C:R,Foglio1!B18,'Listino 2016'!K:K)</f>
        <v>110</v>
      </c>
      <c r="D24" s="64">
        <f ca="1">+SUMIF('Listino 2016'!C:R,Foglio1!B18,'Listino 2016'!H:H)</f>
        <v>2</v>
      </c>
      <c r="E24" s="74">
        <f ca="1">+SUMIF('Listino 2016'!C:R,Foglio1!B18,'Listino 2016'!L:L)</f>
        <v>880</v>
      </c>
    </row>
    <row r="25" spans="1:5" x14ac:dyDescent="0.3">
      <c r="A25" s="69"/>
      <c r="B25" s="76" t="s">
        <v>50</v>
      </c>
      <c r="C25" s="74">
        <f ca="1">+SUMIF('Listino 2016'!C:R,Foglio1!B19,'Listino 2016'!K:K)</f>
        <v>150</v>
      </c>
      <c r="D25" s="64">
        <f ca="1">+SUMIF('Listino 2016'!C:R,Foglio1!B19,'Listino 2016'!H:H)</f>
        <v>3</v>
      </c>
      <c r="E25" s="74">
        <f ca="1">+SUMIF('Listino 2016'!C:R,Foglio1!B19,'Listino 2016'!L:L)</f>
        <v>1300</v>
      </c>
    </row>
    <row r="26" spans="1:5" x14ac:dyDescent="0.3">
      <c r="A26" s="69"/>
      <c r="B26" s="76" t="s">
        <v>52</v>
      </c>
      <c r="C26" s="74">
        <f ca="1">+SUMIF('Listino 2016'!C:R,Foglio1!B20,'Listino 2016'!K:K)</f>
        <v>250</v>
      </c>
      <c r="D26" s="64">
        <f ca="1">+SUMIF('Listino 2016'!C:R,Foglio1!B20,'Listino 2016'!H:H)</f>
        <v>4</v>
      </c>
      <c r="E26" s="74">
        <f ca="1">+SUMIF('Listino 2016'!C:R,Foglio1!B20,'Listino 2016'!L:L)</f>
        <v>1760</v>
      </c>
    </row>
    <row r="27" spans="1:5" x14ac:dyDescent="0.3">
      <c r="A27" s="69"/>
      <c r="B27" s="76" t="s">
        <v>54</v>
      </c>
      <c r="C27" s="74">
        <f ca="1">+SUMIF('Listino 2016'!C:R,Foglio1!B21,'Listino 2016'!K:K)</f>
        <v>340</v>
      </c>
      <c r="D27" s="64">
        <f ca="1">+SUMIF('Listino 2016'!C:R,Foglio1!B21,'Listino 2016'!H:H)</f>
        <v>5</v>
      </c>
      <c r="E27" s="74">
        <f ca="1">+SUMIF('Listino 2016'!C:R,Foglio1!B21,'Listino 2016'!L:L)</f>
        <v>2180</v>
      </c>
    </row>
    <row r="28" spans="1:5" x14ac:dyDescent="0.3">
      <c r="A28" s="69"/>
      <c r="B28" s="76" t="s">
        <v>56</v>
      </c>
      <c r="C28" s="74">
        <f ca="1">+SUMIF('Listino 2016'!C:R,Foglio1!B22,'Listino 2016'!K:K)</f>
        <v>470</v>
      </c>
      <c r="D28" s="64">
        <f ca="1">+SUMIF('Listino 2016'!C:R,Foglio1!B22,'Listino 2016'!H:H)</f>
        <v>7</v>
      </c>
      <c r="E28" s="74">
        <f ca="1">+SUMIF('Listino 2016'!C:R,Foglio1!B22,'Listino 2016'!L:L)</f>
        <v>3100</v>
      </c>
    </row>
    <row r="29" spans="1:5" ht="10.8" customHeight="1" x14ac:dyDescent="0.3">
      <c r="A29" s="72"/>
      <c r="B29" s="72"/>
      <c r="C29" s="72"/>
      <c r="D29" s="72"/>
      <c r="E29" s="72"/>
    </row>
  </sheetData>
  <mergeCells count="12">
    <mergeCell ref="B21:B22"/>
    <mergeCell ref="A1:A2"/>
    <mergeCell ref="B1:B2"/>
    <mergeCell ref="A8:A9"/>
    <mergeCell ref="B8:B9"/>
    <mergeCell ref="A13:A14"/>
    <mergeCell ref="B13:B14"/>
    <mergeCell ref="A21:A22"/>
    <mergeCell ref="A3:A6"/>
    <mergeCell ref="A10:A11"/>
    <mergeCell ref="A15:A19"/>
    <mergeCell ref="A23:A2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2"/>
  <sheetViews>
    <sheetView workbookViewId="0">
      <selection activeCell="E5" sqref="E5"/>
    </sheetView>
  </sheetViews>
  <sheetFormatPr defaultColWidth="9.109375" defaultRowHeight="14.4" x14ac:dyDescent="0.3"/>
  <cols>
    <col min="1" max="1" width="9.109375" style="17"/>
    <col min="2" max="2" width="9" style="17" bestFit="1" customWidth="1"/>
    <col min="3" max="3" width="7" style="17" bestFit="1" customWidth="1"/>
    <col min="4" max="4" width="1.44140625" style="17" customWidth="1"/>
    <col min="5" max="5" width="9" style="17" bestFit="1" customWidth="1"/>
    <col min="6" max="6" width="8" style="17" bestFit="1" customWidth="1"/>
    <col min="7" max="7" width="1.44140625" style="17" customWidth="1"/>
    <col min="8" max="8" width="9" style="17" bestFit="1" customWidth="1"/>
    <col min="9" max="9" width="7" style="17" bestFit="1" customWidth="1"/>
    <col min="10" max="10" width="1.44140625" style="17" customWidth="1"/>
    <col min="11" max="11" width="28.88671875" style="17" bestFit="1" customWidth="1"/>
    <col min="12" max="12" width="4.21875" style="17" customWidth="1"/>
    <col min="13" max="13" width="7" style="17" bestFit="1" customWidth="1"/>
    <col min="14" max="14" width="3.5546875" style="17" bestFit="1" customWidth="1"/>
    <col min="15" max="15" width="8" style="17" bestFit="1" customWidth="1"/>
    <col min="16" max="16384" width="9.109375" style="17"/>
  </cols>
  <sheetData>
    <row r="1" spans="2:18" ht="15" thickBot="1" x14ac:dyDescent="0.35"/>
    <row r="2" spans="2:18" ht="15" thickBot="1" x14ac:dyDescent="0.35">
      <c r="B2" s="70" t="s">
        <v>794</v>
      </c>
      <c r="C2" s="71"/>
      <c r="E2" s="70" t="s">
        <v>795</v>
      </c>
      <c r="F2" s="71"/>
      <c r="H2" s="70" t="s">
        <v>797</v>
      </c>
      <c r="I2" s="71"/>
    </row>
    <row r="3" spans="2:18" ht="7.5" customHeight="1" thickBot="1" x14ac:dyDescent="0.35"/>
    <row r="4" spans="2:18" ht="16.8" thickBot="1" x14ac:dyDescent="0.35">
      <c r="B4" s="18" t="s">
        <v>796</v>
      </c>
      <c r="C4" s="16">
        <v>54</v>
      </c>
      <c r="D4" s="15"/>
      <c r="E4" s="18" t="str">
        <f>+B4</f>
        <v>DN (mm)</v>
      </c>
      <c r="F4" s="19">
        <f>(F6*1000/0.785/F8)^0.5</f>
        <v>153.59803608086298</v>
      </c>
      <c r="G4" s="15"/>
      <c r="H4" s="18" t="str">
        <f>+B4</f>
        <v>DN (mm)</v>
      </c>
      <c r="I4" s="16">
        <v>79.2</v>
      </c>
      <c r="K4" s="18" t="s">
        <v>791</v>
      </c>
      <c r="M4" s="24" t="s">
        <v>799</v>
      </c>
      <c r="N4" s="25"/>
      <c r="O4" s="26" t="s">
        <v>800</v>
      </c>
    </row>
    <row r="5" spans="2:18" ht="7.5" customHeight="1" thickBot="1" x14ac:dyDescent="0.35">
      <c r="C5" s="15"/>
      <c r="D5" s="15"/>
      <c r="F5" s="15"/>
      <c r="G5" s="15"/>
      <c r="I5" s="15"/>
      <c r="M5" s="27" t="s">
        <v>840</v>
      </c>
      <c r="N5" s="28"/>
      <c r="O5" s="29" t="s">
        <v>840</v>
      </c>
    </row>
    <row r="6" spans="2:18" ht="15" thickBot="1" x14ac:dyDescent="0.35">
      <c r="B6" s="18" t="s">
        <v>792</v>
      </c>
      <c r="C6" s="19">
        <f>0.785*C4^2*C8/1000</f>
        <v>3.4335900000000001</v>
      </c>
      <c r="D6" s="15"/>
      <c r="E6" s="18" t="str">
        <f t="shared" ref="E6:E8" si="0">+B6</f>
        <v>Q (l/s)</v>
      </c>
      <c r="F6" s="16">
        <v>27.78</v>
      </c>
      <c r="G6" s="15"/>
      <c r="H6" s="18" t="str">
        <f t="shared" ref="H6:H8" si="1">+B6</f>
        <v>Q (l/s)</v>
      </c>
      <c r="I6" s="16">
        <v>8.33</v>
      </c>
      <c r="K6" s="20" t="s">
        <v>789</v>
      </c>
      <c r="L6" s="21"/>
      <c r="M6" s="30">
        <v>3.43</v>
      </c>
      <c r="N6" s="31" t="s">
        <v>798</v>
      </c>
      <c r="O6" s="32">
        <f>+M6*3.6</f>
        <v>12.348000000000001</v>
      </c>
    </row>
    <row r="7" spans="2:18" ht="7.5" customHeight="1" thickBot="1" x14ac:dyDescent="0.35">
      <c r="C7" s="15"/>
      <c r="D7" s="15"/>
      <c r="F7" s="15"/>
      <c r="G7" s="15"/>
      <c r="I7" s="15"/>
      <c r="M7" s="33"/>
      <c r="N7" s="28"/>
      <c r="O7" s="34"/>
    </row>
    <row r="8" spans="2:18" ht="15" thickBot="1" x14ac:dyDescent="0.35">
      <c r="B8" s="18" t="s">
        <v>793</v>
      </c>
      <c r="C8" s="16">
        <v>1.5</v>
      </c>
      <c r="D8" s="15"/>
      <c r="E8" s="18" t="str">
        <f t="shared" si="0"/>
        <v>V (m/s)</v>
      </c>
      <c r="F8" s="16">
        <v>1.5</v>
      </c>
      <c r="G8" s="15"/>
      <c r="H8" s="18" t="str">
        <f t="shared" si="1"/>
        <v>V (m/s)</v>
      </c>
      <c r="I8" s="19">
        <f>+I6*1000/0.785/I4^2</f>
        <v>1.6917063577939855</v>
      </c>
      <c r="K8" s="18" t="s">
        <v>790</v>
      </c>
      <c r="M8" s="35">
        <f>+O8/3.6</f>
        <v>27.777777777777779</v>
      </c>
      <c r="N8" s="36" t="s">
        <v>841</v>
      </c>
      <c r="O8" s="37">
        <v>100</v>
      </c>
    </row>
    <row r="9" spans="2:18" ht="7.5" customHeight="1" x14ac:dyDescent="0.3"/>
    <row r="10" spans="2:18" x14ac:dyDescent="0.3">
      <c r="P10" s="15"/>
    </row>
    <row r="11" spans="2:18" x14ac:dyDescent="0.3">
      <c r="P11" s="15"/>
      <c r="R11" s="15"/>
    </row>
    <row r="12" spans="2:18" x14ac:dyDescent="0.3">
      <c r="P12" s="15"/>
    </row>
  </sheetData>
  <sheetProtection sheet="1" objects="1" scenarios="1"/>
  <mergeCells count="3">
    <mergeCell ref="B2:C2"/>
    <mergeCell ref="E2:F2"/>
    <mergeCell ref="H2: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4"/>
  <sheetViews>
    <sheetView workbookViewId="0">
      <selection activeCell="B11" sqref="B11"/>
    </sheetView>
  </sheetViews>
  <sheetFormatPr defaultColWidth="9.109375" defaultRowHeight="14.4" x14ac:dyDescent="0.3"/>
  <cols>
    <col min="1" max="1" width="9.109375" style="17"/>
    <col min="2" max="2" width="16.88671875" style="17" bestFit="1" customWidth="1"/>
    <col min="3" max="3" width="9.5546875" style="17" bestFit="1" customWidth="1"/>
    <col min="4" max="4" width="1.44140625" style="17" customWidth="1"/>
    <col min="5" max="5" width="20.77734375" style="17" bestFit="1" customWidth="1"/>
    <col min="6" max="6" width="10.5546875" style="17" bestFit="1" customWidth="1"/>
    <col min="7" max="7" width="1.44140625" style="17" customWidth="1"/>
    <col min="8" max="8" width="21.109375" style="17" bestFit="1" customWidth="1"/>
    <col min="9" max="9" width="10.5546875" style="17" bestFit="1" customWidth="1"/>
    <col min="10" max="10" width="1.44140625" style="17" customWidth="1"/>
    <col min="11" max="11" width="28.88671875" style="17" bestFit="1" customWidth="1"/>
    <col min="12" max="12" width="4.21875" style="17" customWidth="1"/>
    <col min="13" max="13" width="6" style="17" bestFit="1" customWidth="1"/>
    <col min="14" max="14" width="3.5546875" style="17" bestFit="1" customWidth="1"/>
    <col min="15" max="15" width="6" style="17" bestFit="1" customWidth="1"/>
    <col min="16" max="16384" width="9.109375" style="17"/>
  </cols>
  <sheetData>
    <row r="1" spans="2:18" ht="15" thickBot="1" x14ac:dyDescent="0.35"/>
    <row r="2" spans="2:18" ht="15" thickBot="1" x14ac:dyDescent="0.35">
      <c r="B2" s="70" t="s">
        <v>819</v>
      </c>
      <c r="C2" s="71"/>
      <c r="E2" s="70" t="s">
        <v>891</v>
      </c>
      <c r="F2" s="71"/>
      <c r="H2" s="70" t="s">
        <v>888</v>
      </c>
      <c r="I2" s="71"/>
    </row>
    <row r="3" spans="2:18" ht="7.5" customHeight="1" thickBot="1" x14ac:dyDescent="0.35"/>
    <row r="4" spans="2:18" ht="16.8" thickBot="1" x14ac:dyDescent="0.35">
      <c r="B4" s="18" t="s">
        <v>889</v>
      </c>
      <c r="C4" s="16">
        <v>2120</v>
      </c>
      <c r="D4" s="15"/>
      <c r="E4" s="20" t="s">
        <v>825</v>
      </c>
      <c r="F4" s="22">
        <f>C4*C6*C8/1000000*C12</f>
        <v>1335.6</v>
      </c>
      <c r="H4" s="20" t="s">
        <v>825</v>
      </c>
      <c r="I4" s="22">
        <f>(C10/2)^2*PI()*C8/1000000*C12</f>
        <v>111.33018966158828</v>
      </c>
      <c r="J4" s="15"/>
      <c r="K4" s="18" t="s">
        <v>791</v>
      </c>
      <c r="M4" s="24" t="s">
        <v>799</v>
      </c>
      <c r="N4" s="25"/>
      <c r="O4" s="26" t="s">
        <v>800</v>
      </c>
    </row>
    <row r="5" spans="2:18" ht="7.5" customHeight="1" thickBot="1" x14ac:dyDescent="0.35">
      <c r="C5" s="15"/>
      <c r="D5" s="15"/>
      <c r="J5" s="15"/>
      <c r="M5" s="27" t="s">
        <v>840</v>
      </c>
      <c r="N5" s="28"/>
      <c r="O5" s="29" t="s">
        <v>840</v>
      </c>
    </row>
    <row r="6" spans="2:18" ht="15" thickBot="1" x14ac:dyDescent="0.35">
      <c r="B6" s="18" t="s">
        <v>890</v>
      </c>
      <c r="C6" s="16">
        <v>900</v>
      </c>
      <c r="D6" s="15"/>
      <c r="E6" s="20" t="s">
        <v>822</v>
      </c>
      <c r="F6" s="22">
        <f>C4*C6*2/100000*C12</f>
        <v>38.159999999999997</v>
      </c>
      <c r="H6" s="20" t="s">
        <v>822</v>
      </c>
      <c r="I6" s="22">
        <f>(C10/2)^2*PI()*2/100000*C12</f>
        <v>3.1808625617596653</v>
      </c>
      <c r="J6" s="15"/>
      <c r="K6" s="20" t="s">
        <v>789</v>
      </c>
      <c r="L6" s="21"/>
      <c r="M6" s="30">
        <v>2</v>
      </c>
      <c r="N6" s="31" t="s">
        <v>798</v>
      </c>
      <c r="O6" s="32">
        <f>+M6*3.6</f>
        <v>7.2</v>
      </c>
    </row>
    <row r="7" spans="2:18" ht="7.5" customHeight="1" thickBot="1" x14ac:dyDescent="0.35">
      <c r="C7" s="15"/>
      <c r="D7" s="15"/>
      <c r="F7" s="15"/>
      <c r="I7" s="15"/>
      <c r="J7" s="15"/>
      <c r="M7" s="33"/>
      <c r="N7" s="28"/>
      <c r="O7" s="34"/>
    </row>
    <row r="8" spans="2:18" ht="15" thickBot="1" x14ac:dyDescent="0.35">
      <c r="B8" s="18" t="s">
        <v>820</v>
      </c>
      <c r="C8" s="16">
        <v>700</v>
      </c>
      <c r="D8" s="15"/>
      <c r="E8" s="18" t="s">
        <v>824</v>
      </c>
      <c r="F8" s="16">
        <v>1</v>
      </c>
      <c r="H8" s="18" t="s">
        <v>824</v>
      </c>
      <c r="I8" s="16">
        <v>1</v>
      </c>
      <c r="J8" s="15"/>
      <c r="K8" s="18" t="s">
        <v>790</v>
      </c>
      <c r="M8" s="35">
        <f>+O8/3.6</f>
        <v>1.25</v>
      </c>
      <c r="N8" s="36" t="s">
        <v>841</v>
      </c>
      <c r="O8" s="37">
        <v>4.5</v>
      </c>
    </row>
    <row r="9" spans="2:18" ht="8.25" customHeight="1" thickBot="1" x14ac:dyDescent="0.35">
      <c r="F9" s="15"/>
      <c r="I9" s="15"/>
    </row>
    <row r="10" spans="2:18" ht="15" thickBot="1" x14ac:dyDescent="0.35">
      <c r="B10" s="18" t="s">
        <v>892</v>
      </c>
      <c r="C10" s="16">
        <v>450</v>
      </c>
      <c r="E10" s="20" t="s">
        <v>823</v>
      </c>
      <c r="F10" s="22">
        <f>C4*C6*C8/1000000*C12*F8/4</f>
        <v>333.9</v>
      </c>
      <c r="H10" s="20" t="s">
        <v>823</v>
      </c>
      <c r="I10" s="22">
        <f>+(C10/2)^2*PI()*C8/1000000*C12*I8/4</f>
        <v>27.83254741539707</v>
      </c>
      <c r="P10" s="15"/>
    </row>
    <row r="11" spans="2:18" ht="7.5" customHeight="1" thickBot="1" x14ac:dyDescent="0.35">
      <c r="P11" s="15"/>
      <c r="R11" s="15"/>
    </row>
    <row r="12" spans="2:18" ht="15" thickBot="1" x14ac:dyDescent="0.35">
      <c r="B12" s="18" t="s">
        <v>821</v>
      </c>
      <c r="C12" s="16">
        <v>1</v>
      </c>
      <c r="E12" s="20" t="s">
        <v>826</v>
      </c>
      <c r="F12" s="22">
        <f>(F4*F8/3600*1000/0.785/1.5)^0.5</f>
        <v>17.750332672340779</v>
      </c>
      <c r="H12" s="20" t="s">
        <v>826</v>
      </c>
      <c r="I12" s="22">
        <f>(I4*I8/3600*1000/0.785/1.5)^0.5</f>
        <v>5.1247745688103059</v>
      </c>
      <c r="P12" s="15"/>
    </row>
    <row r="13" spans="2:18" ht="7.5" customHeight="1" thickBot="1" x14ac:dyDescent="0.35"/>
    <row r="14" spans="2:18" ht="15" thickBot="1" x14ac:dyDescent="0.35">
      <c r="E14" s="20" t="s">
        <v>839</v>
      </c>
      <c r="F14" s="22">
        <f>(F4*F8/3600*1000/0.785/1)^0.5</f>
        <v>21.739628905943931</v>
      </c>
      <c r="H14" s="20" t="s">
        <v>839</v>
      </c>
      <c r="I14" s="22">
        <f>(I4*I8/3600*1000/0.785/1)^0.5</f>
        <v>6.2765413701884647</v>
      </c>
    </row>
  </sheetData>
  <sheetProtection sheet="1" objects="1" scenarios="1"/>
  <mergeCells count="3">
    <mergeCell ref="B2:C2"/>
    <mergeCell ref="H2:I2"/>
    <mergeCell ref="E2:F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workbookViewId="0"/>
  </sheetViews>
  <sheetFormatPr defaultColWidth="9.109375" defaultRowHeight="14.4" x14ac:dyDescent="0.3"/>
  <cols>
    <col min="1" max="1" width="26.44140625" style="12" bestFit="1" customWidth="1"/>
    <col min="2" max="16384" width="9.109375" style="12"/>
  </cols>
  <sheetData>
    <row r="1" spans="1:1" x14ac:dyDescent="0.3">
      <c r="A1" s="48" t="s">
        <v>367</v>
      </c>
    </row>
    <row r="2" spans="1:1" x14ac:dyDescent="0.3">
      <c r="A2" s="48" t="s">
        <v>546</v>
      </c>
    </row>
    <row r="3" spans="1:1" x14ac:dyDescent="0.3">
      <c r="A3" s="48" t="s">
        <v>421</v>
      </c>
    </row>
    <row r="4" spans="1:1" x14ac:dyDescent="0.3">
      <c r="A4" s="48" t="s">
        <v>776</v>
      </c>
    </row>
    <row r="5" spans="1:1" x14ac:dyDescent="0.3">
      <c r="A5" s="48" t="s">
        <v>285</v>
      </c>
    </row>
    <row r="6" spans="1:1" x14ac:dyDescent="0.3">
      <c r="A6" s="48" t="s">
        <v>377</v>
      </c>
    </row>
    <row r="7" spans="1:1" x14ac:dyDescent="0.3">
      <c r="A7" s="48" t="s">
        <v>296</v>
      </c>
    </row>
    <row r="8" spans="1:1" x14ac:dyDescent="0.3">
      <c r="A8" s="48" t="s">
        <v>777</v>
      </c>
    </row>
    <row r="9" spans="1:1" x14ac:dyDescent="0.3">
      <c r="A9" s="48" t="s">
        <v>601</v>
      </c>
    </row>
    <row r="10" spans="1:1" x14ac:dyDescent="0.3">
      <c r="A10" s="48" t="s">
        <v>778</v>
      </c>
    </row>
    <row r="11" spans="1:1" x14ac:dyDescent="0.3">
      <c r="A11" s="48" t="s">
        <v>416</v>
      </c>
    </row>
    <row r="12" spans="1:1" x14ac:dyDescent="0.3">
      <c r="A12" s="48" t="s">
        <v>228</v>
      </c>
    </row>
    <row r="13" spans="1:1" x14ac:dyDescent="0.3">
      <c r="A13" s="48" t="s">
        <v>783</v>
      </c>
    </row>
    <row r="14" spans="1:1" x14ac:dyDescent="0.3">
      <c r="A14" s="48" t="s">
        <v>779</v>
      </c>
    </row>
    <row r="15" spans="1:1" x14ac:dyDescent="0.3">
      <c r="A15" s="48" t="s">
        <v>254</v>
      </c>
    </row>
    <row r="16" spans="1:1" x14ac:dyDescent="0.3">
      <c r="A16" s="48" t="s">
        <v>241</v>
      </c>
    </row>
    <row r="17" spans="1:1" x14ac:dyDescent="0.3">
      <c r="A17" s="48" t="s">
        <v>213</v>
      </c>
    </row>
    <row r="18" spans="1:1" x14ac:dyDescent="0.3">
      <c r="A18" s="48" t="s">
        <v>117</v>
      </c>
    </row>
    <row r="19" spans="1:1" x14ac:dyDescent="0.3">
      <c r="A19" s="48" t="s">
        <v>780</v>
      </c>
    </row>
    <row r="20" spans="1:1" x14ac:dyDescent="0.3">
      <c r="A20" s="48" t="s">
        <v>596</v>
      </c>
    </row>
    <row r="21" spans="1:1" x14ac:dyDescent="0.3">
      <c r="A21" s="48" t="s">
        <v>552</v>
      </c>
    </row>
    <row r="22" spans="1:1" x14ac:dyDescent="0.3">
      <c r="A22" s="48" t="s">
        <v>767</v>
      </c>
    </row>
    <row r="23" spans="1:1" x14ac:dyDescent="0.3">
      <c r="A23" s="48" t="s">
        <v>17</v>
      </c>
    </row>
    <row r="24" spans="1:1" x14ac:dyDescent="0.3">
      <c r="A24" s="48" t="s">
        <v>781</v>
      </c>
    </row>
    <row r="25" spans="1:1" x14ac:dyDescent="0.3">
      <c r="A25" s="48" t="s">
        <v>886</v>
      </c>
    </row>
    <row r="26" spans="1:1" x14ac:dyDescent="0.3">
      <c r="A26" s="48" t="s">
        <v>887</v>
      </c>
    </row>
    <row r="27" spans="1:1" x14ac:dyDescent="0.3">
      <c r="A27" s="48" t="s">
        <v>879</v>
      </c>
    </row>
    <row r="28" spans="1:1" x14ac:dyDescent="0.3">
      <c r="A28" s="48" t="s">
        <v>880</v>
      </c>
    </row>
    <row r="29" spans="1:1" x14ac:dyDescent="0.3">
      <c r="A29" s="48" t="s">
        <v>576</v>
      </c>
    </row>
    <row r="30" spans="1:1" x14ac:dyDescent="0.3">
      <c r="A30" s="48" t="s">
        <v>782</v>
      </c>
    </row>
    <row r="31" spans="1:1" x14ac:dyDescent="0.3">
      <c r="A31" s="48" t="s">
        <v>512</v>
      </c>
    </row>
  </sheetData>
  <sortState ref="A2:A31">
    <sortCondition ref="A1"/>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topLeftCell="B1" workbookViewId="0">
      <selection activeCell="F111" sqref="F111"/>
    </sheetView>
  </sheetViews>
  <sheetFormatPr defaultRowHeight="14.4" x14ac:dyDescent="0.3"/>
  <cols>
    <col min="2" max="2" width="28.44140625" bestFit="1" customWidth="1"/>
    <col min="3" max="3" width="92.77734375" bestFit="1" customWidth="1"/>
    <col min="4" max="4" width="11" style="3" bestFit="1" customWidth="1"/>
    <col min="5" max="5" width="9.109375" style="13"/>
    <col min="6" max="6" width="12" style="3" bestFit="1" customWidth="1"/>
    <col min="7" max="7" width="12" bestFit="1" customWidth="1"/>
  </cols>
  <sheetData>
    <row r="1" spans="1:7" s="12" customFormat="1" x14ac:dyDescent="0.3">
      <c r="A1" s="12" t="s">
        <v>810</v>
      </c>
      <c r="C1" s="12">
        <f>23930*2.1</f>
        <v>50253</v>
      </c>
      <c r="D1" s="3"/>
      <c r="E1" s="13"/>
      <c r="F1" s="3"/>
    </row>
    <row r="2" spans="1:7" s="12" customFormat="1" x14ac:dyDescent="0.3">
      <c r="A2" s="12" t="s">
        <v>806</v>
      </c>
      <c r="B2" s="12" t="s">
        <v>807</v>
      </c>
      <c r="C2" s="12" t="s">
        <v>2</v>
      </c>
      <c r="D2" s="3" t="s">
        <v>808</v>
      </c>
      <c r="E2" s="13" t="s">
        <v>809</v>
      </c>
      <c r="F2" s="3" t="s">
        <v>814</v>
      </c>
      <c r="G2" s="12" t="s">
        <v>815</v>
      </c>
    </row>
    <row r="3" spans="1:7" s="12" customFormat="1" x14ac:dyDescent="0.3">
      <c r="A3" s="12">
        <v>15</v>
      </c>
      <c r="B3" s="12" t="s">
        <v>811</v>
      </c>
      <c r="C3" s="12" t="s">
        <v>812</v>
      </c>
      <c r="D3" s="3">
        <v>1295.7</v>
      </c>
      <c r="E3" s="13"/>
      <c r="F3" s="3">
        <f>+D3*A3</f>
        <v>19435.5</v>
      </c>
      <c r="G3" s="5">
        <f>+F3*(1-E3)</f>
        <v>19435.5</v>
      </c>
    </row>
    <row r="4" spans="1:7" x14ac:dyDescent="0.3">
      <c r="A4">
        <v>1</v>
      </c>
      <c r="B4" t="s">
        <v>370</v>
      </c>
      <c r="C4" t="s">
        <v>813</v>
      </c>
      <c r="D4" s="3">
        <v>1040</v>
      </c>
      <c r="E4" s="13">
        <v>0.18356442307692311</v>
      </c>
      <c r="F4" s="3">
        <f t="shared" ref="F4:F12" si="0">+D4*A4</f>
        <v>1040</v>
      </c>
      <c r="G4" s="5">
        <f t="shared" ref="G4:G12" si="1">+F4*(1-E4)</f>
        <v>849.09299999999996</v>
      </c>
    </row>
    <row r="5" spans="1:7" x14ac:dyDescent="0.3">
      <c r="A5">
        <v>1</v>
      </c>
      <c r="B5" t="s">
        <v>334</v>
      </c>
      <c r="C5" t="s">
        <v>335</v>
      </c>
      <c r="D5" s="3">
        <v>851.8</v>
      </c>
      <c r="E5" s="13">
        <v>0.17236381779760501</v>
      </c>
      <c r="F5" s="3">
        <f t="shared" si="0"/>
        <v>851.8</v>
      </c>
      <c r="G5" s="5">
        <f t="shared" si="1"/>
        <v>704.98050000000001</v>
      </c>
    </row>
    <row r="6" spans="1:7" x14ac:dyDescent="0.3">
      <c r="A6">
        <v>1</v>
      </c>
      <c r="B6" t="s">
        <v>247</v>
      </c>
      <c r="C6" t="s">
        <v>243</v>
      </c>
      <c r="D6" s="3">
        <v>539</v>
      </c>
      <c r="E6" s="13">
        <v>0.20324675324675312</v>
      </c>
      <c r="F6" s="3">
        <f t="shared" si="0"/>
        <v>539</v>
      </c>
      <c r="G6" s="5">
        <f t="shared" si="1"/>
        <v>429.45000000000005</v>
      </c>
    </row>
    <row r="7" spans="1:7" x14ac:dyDescent="0.3">
      <c r="A7">
        <v>1</v>
      </c>
      <c r="B7" t="s">
        <v>219</v>
      </c>
      <c r="C7" t="s">
        <v>220</v>
      </c>
      <c r="D7" s="3">
        <v>4462.0895799999998</v>
      </c>
      <c r="E7" s="13">
        <v>0.1497975708502024</v>
      </c>
      <c r="F7" s="3">
        <f t="shared" si="0"/>
        <v>4462.0895799999998</v>
      </c>
      <c r="G7" s="5">
        <f t="shared" si="1"/>
        <v>3793.6794</v>
      </c>
    </row>
    <row r="8" spans="1:7" x14ac:dyDescent="0.3">
      <c r="A8">
        <v>1</v>
      </c>
      <c r="B8" t="s">
        <v>118</v>
      </c>
      <c r="C8" t="s">
        <v>119</v>
      </c>
      <c r="D8" s="3">
        <v>2062.3759000000005</v>
      </c>
      <c r="E8" s="13">
        <v>0.14979757085020251</v>
      </c>
      <c r="F8" s="3">
        <f t="shared" si="0"/>
        <v>2062.3759000000005</v>
      </c>
      <c r="G8" s="5">
        <f t="shared" si="1"/>
        <v>1753.4370000000001</v>
      </c>
    </row>
    <row r="9" spans="1:7" x14ac:dyDescent="0.3">
      <c r="A9">
        <v>1</v>
      </c>
      <c r="B9" t="s">
        <v>176</v>
      </c>
      <c r="C9" t="s">
        <v>177</v>
      </c>
      <c r="D9" s="3">
        <v>949.29263000000014</v>
      </c>
      <c r="E9" s="13">
        <v>0.14979757085020251</v>
      </c>
      <c r="F9" s="3">
        <f t="shared" si="0"/>
        <v>949.29263000000014</v>
      </c>
      <c r="G9" s="5">
        <f t="shared" si="1"/>
        <v>807.09090000000003</v>
      </c>
    </row>
    <row r="10" spans="1:7" x14ac:dyDescent="0.3">
      <c r="A10" s="12">
        <v>1</v>
      </c>
      <c r="B10" s="12" t="s">
        <v>833</v>
      </c>
      <c r="C10" s="12" t="s">
        <v>164</v>
      </c>
      <c r="D10" s="3">
        <f>555*1.05</f>
        <v>582.75</v>
      </c>
      <c r="E10" s="13">
        <v>0.23</v>
      </c>
      <c r="F10" s="3">
        <f t="shared" ref="F10" si="2">+D10*A10</f>
        <v>582.75</v>
      </c>
      <c r="G10" s="5">
        <f t="shared" ref="G10" si="3">+F10*(1-E10)</f>
        <v>448.71750000000003</v>
      </c>
    </row>
    <row r="11" spans="1:7" x14ac:dyDescent="0.3">
      <c r="A11">
        <v>1</v>
      </c>
      <c r="B11" t="s">
        <v>30</v>
      </c>
      <c r="C11" t="s">
        <v>31</v>
      </c>
      <c r="D11" s="3">
        <v>2813.43127</v>
      </c>
      <c r="E11" s="13">
        <v>0.1497975708502024</v>
      </c>
      <c r="F11" s="3">
        <f t="shared" si="0"/>
        <v>2813.43127</v>
      </c>
      <c r="G11" s="5">
        <f t="shared" si="1"/>
        <v>2391.9861000000001</v>
      </c>
    </row>
    <row r="12" spans="1:7" x14ac:dyDescent="0.3">
      <c r="A12">
        <v>1</v>
      </c>
      <c r="B12" t="s">
        <v>587</v>
      </c>
      <c r="C12" t="s">
        <v>588</v>
      </c>
      <c r="D12" s="3">
        <v>3384.7058823529414</v>
      </c>
      <c r="E12" s="13">
        <v>0.14979757085020251</v>
      </c>
      <c r="F12" s="3">
        <f t="shared" si="0"/>
        <v>3384.7058823529414</v>
      </c>
      <c r="G12" s="5">
        <f t="shared" si="1"/>
        <v>2877.6851631340796</v>
      </c>
    </row>
    <row r="13" spans="1:7" s="12" customFormat="1" x14ac:dyDescent="0.3">
      <c r="A13" s="12">
        <v>1</v>
      </c>
      <c r="B13" s="12" t="s">
        <v>830</v>
      </c>
      <c r="C13" s="12" t="s">
        <v>829</v>
      </c>
      <c r="D13" s="3"/>
      <c r="E13" s="13"/>
      <c r="F13" s="3"/>
      <c r="G13" s="5"/>
    </row>
    <row r="14" spans="1:7" x14ac:dyDescent="0.3">
      <c r="A14">
        <v>15</v>
      </c>
      <c r="B14" t="s">
        <v>827</v>
      </c>
      <c r="C14" t="s">
        <v>828</v>
      </c>
      <c r="D14" s="3">
        <v>200</v>
      </c>
      <c r="F14" s="3">
        <f t="shared" ref="F14" si="4">+D14*A14</f>
        <v>3000</v>
      </c>
      <c r="G14" s="5">
        <f t="shared" ref="G14" si="5">+F14*(1-E14)</f>
        <v>3000</v>
      </c>
    </row>
    <row r="15" spans="1:7" x14ac:dyDescent="0.3">
      <c r="A15">
        <v>1</v>
      </c>
      <c r="B15" t="s">
        <v>816</v>
      </c>
      <c r="C15" t="s">
        <v>817</v>
      </c>
      <c r="D15" s="3">
        <f>0.15*(D4+D5+D6+D7+D11)</f>
        <v>1455.9481275000001</v>
      </c>
      <c r="F15" s="3">
        <f t="shared" ref="F15" si="6">+D15*A15</f>
        <v>1455.9481275000001</v>
      </c>
      <c r="G15" s="5">
        <f t="shared" ref="G15" si="7">+F15*(1-E15)</f>
        <v>1455.9481275000001</v>
      </c>
    </row>
    <row r="16" spans="1:7" s="40" customFormat="1" x14ac:dyDescent="0.3">
      <c r="A16" s="40">
        <v>1</v>
      </c>
      <c r="C16" s="40" t="s">
        <v>868</v>
      </c>
      <c r="D16" s="3">
        <f>30*8*3*3</f>
        <v>2160</v>
      </c>
      <c r="E16" s="13"/>
      <c r="F16" s="3">
        <f t="shared" ref="F16" si="8">+D16*A16</f>
        <v>2160</v>
      </c>
      <c r="G16" s="5">
        <f t="shared" ref="G16" si="9">+F16*(1-E16)</f>
        <v>2160</v>
      </c>
    </row>
    <row r="17" spans="1:7" s="40" customFormat="1" x14ac:dyDescent="0.3">
      <c r="A17" s="40">
        <v>1</v>
      </c>
      <c r="C17" s="40" t="s">
        <v>869</v>
      </c>
      <c r="D17" s="3">
        <f>630*2*0.6+19*3*8*2</f>
        <v>1668</v>
      </c>
      <c r="E17" s="13"/>
      <c r="F17" s="3">
        <f t="shared" ref="F17" si="10">+D17*A17</f>
        <v>1668</v>
      </c>
      <c r="G17" s="5">
        <f t="shared" ref="G17" si="11">+F17*(1-E17)</f>
        <v>1668</v>
      </c>
    </row>
    <row r="18" spans="1:7" x14ac:dyDescent="0.3">
      <c r="G18" s="3"/>
    </row>
    <row r="19" spans="1:7" x14ac:dyDescent="0.3">
      <c r="A19" t="s">
        <v>818</v>
      </c>
    </row>
    <row r="20" spans="1:7" x14ac:dyDescent="0.3">
      <c r="A20">
        <v>10</v>
      </c>
      <c r="B20" s="23" t="s">
        <v>831</v>
      </c>
      <c r="C20" s="23" t="s">
        <v>832</v>
      </c>
      <c r="D20" s="3">
        <v>500</v>
      </c>
      <c r="F20" s="3">
        <f t="shared" ref="F20:F33" si="12">+D20*A20</f>
        <v>5000</v>
      </c>
      <c r="G20" s="5">
        <f t="shared" ref="G20:G33" si="13">+F20*(1-E20)</f>
        <v>5000</v>
      </c>
    </row>
    <row r="21" spans="1:7" x14ac:dyDescent="0.3">
      <c r="A21">
        <v>1</v>
      </c>
      <c r="B21" t="s">
        <v>369</v>
      </c>
      <c r="D21" s="3">
        <v>479.85</v>
      </c>
      <c r="E21" s="13">
        <v>4.6870897155361191E-2</v>
      </c>
      <c r="F21" s="3">
        <f t="shared" si="12"/>
        <v>479.85</v>
      </c>
      <c r="G21" s="5">
        <f t="shared" si="13"/>
        <v>457.35899999999998</v>
      </c>
    </row>
    <row r="22" spans="1:7" x14ac:dyDescent="0.3">
      <c r="A22">
        <v>1</v>
      </c>
      <c r="B22" t="s">
        <v>245</v>
      </c>
      <c r="C22" t="s">
        <v>243</v>
      </c>
      <c r="D22" s="3">
        <v>449</v>
      </c>
      <c r="E22" s="13">
        <v>1.3140311804008875E-2</v>
      </c>
      <c r="F22" s="3">
        <f t="shared" si="12"/>
        <v>449</v>
      </c>
      <c r="G22" s="5">
        <f t="shared" si="13"/>
        <v>443.1</v>
      </c>
    </row>
    <row r="23" spans="1:7" s="12" customFormat="1" x14ac:dyDescent="0.3">
      <c r="A23" s="12">
        <v>1</v>
      </c>
      <c r="B23" s="12" t="s">
        <v>330</v>
      </c>
      <c r="C23" s="12" t="s">
        <v>331</v>
      </c>
      <c r="D23" s="3">
        <v>577.19999999999993</v>
      </c>
      <c r="E23" s="13">
        <v>0.27051195426195418</v>
      </c>
      <c r="F23" s="3">
        <f t="shared" ref="F23" si="14">+D23*A23</f>
        <v>577.19999999999993</v>
      </c>
      <c r="G23" s="5">
        <f t="shared" ref="G23" si="15">+F23*(1-E23)</f>
        <v>421.06049999999999</v>
      </c>
    </row>
    <row r="24" spans="1:7" x14ac:dyDescent="0.3">
      <c r="A24">
        <v>1</v>
      </c>
      <c r="B24" t="s">
        <v>217</v>
      </c>
      <c r="C24" t="s">
        <v>218</v>
      </c>
      <c r="D24" s="3">
        <v>1828.5163</v>
      </c>
      <c r="E24" s="13">
        <v>0.14979757085020251</v>
      </c>
      <c r="F24" s="3">
        <f t="shared" si="12"/>
        <v>1828.5163</v>
      </c>
      <c r="G24" s="5">
        <f t="shared" si="13"/>
        <v>1554.6089999999999</v>
      </c>
    </row>
    <row r="25" spans="1:7" x14ac:dyDescent="0.3">
      <c r="A25">
        <v>1</v>
      </c>
      <c r="B25" t="s">
        <v>118</v>
      </c>
      <c r="C25" t="s">
        <v>119</v>
      </c>
      <c r="D25" s="3">
        <v>2062.3759000000005</v>
      </c>
      <c r="E25" s="13">
        <v>0.14979757085020251</v>
      </c>
      <c r="F25" s="3">
        <f t="shared" si="12"/>
        <v>2062.3759000000005</v>
      </c>
      <c r="G25" s="5">
        <f t="shared" si="13"/>
        <v>1753.4370000000001</v>
      </c>
    </row>
    <row r="26" spans="1:7" x14ac:dyDescent="0.3">
      <c r="A26">
        <v>1</v>
      </c>
      <c r="B26" t="s">
        <v>163</v>
      </c>
      <c r="C26" t="s">
        <v>164</v>
      </c>
      <c r="D26" s="3">
        <v>582.75</v>
      </c>
      <c r="E26" s="13">
        <v>0.22879279279279285</v>
      </c>
      <c r="F26" s="3">
        <f t="shared" si="12"/>
        <v>582.75</v>
      </c>
      <c r="G26" s="5">
        <f t="shared" si="13"/>
        <v>449.42099999999999</v>
      </c>
    </row>
    <row r="27" spans="1:7" x14ac:dyDescent="0.3">
      <c r="A27">
        <v>1</v>
      </c>
      <c r="B27" t="s">
        <v>176</v>
      </c>
      <c r="C27" t="s">
        <v>177</v>
      </c>
      <c r="D27" s="3">
        <v>949.29263000000014</v>
      </c>
      <c r="E27" s="13">
        <v>0.14979757085020251</v>
      </c>
      <c r="F27" s="3">
        <f t="shared" si="12"/>
        <v>949.29263000000014</v>
      </c>
      <c r="G27" s="5">
        <f t="shared" si="13"/>
        <v>807.09090000000003</v>
      </c>
    </row>
    <row r="28" spans="1:7" x14ac:dyDescent="0.3">
      <c r="A28">
        <v>1</v>
      </c>
      <c r="B28" t="s">
        <v>28</v>
      </c>
      <c r="C28" t="s">
        <v>29</v>
      </c>
      <c r="D28" s="3">
        <v>2104.6598300000005</v>
      </c>
      <c r="E28" s="13">
        <v>0.14979757085020251</v>
      </c>
      <c r="F28" s="3">
        <f t="shared" si="12"/>
        <v>2104.6598300000005</v>
      </c>
      <c r="G28" s="5">
        <f t="shared" si="13"/>
        <v>1789.3869000000002</v>
      </c>
    </row>
    <row r="29" spans="1:7" s="12" customFormat="1" x14ac:dyDescent="0.3">
      <c r="A29" s="12">
        <v>1</v>
      </c>
      <c r="B29" s="12" t="s">
        <v>830</v>
      </c>
      <c r="C29" s="12" t="s">
        <v>829</v>
      </c>
      <c r="D29" s="3"/>
      <c r="E29" s="13"/>
      <c r="F29" s="3"/>
      <c r="G29" s="5"/>
    </row>
    <row r="30" spans="1:7" x14ac:dyDescent="0.3">
      <c r="A30">
        <v>1</v>
      </c>
      <c r="B30" t="s">
        <v>834</v>
      </c>
      <c r="C30" t="s">
        <v>835</v>
      </c>
      <c r="F30" s="3">
        <f t="shared" si="12"/>
        <v>0</v>
      </c>
      <c r="G30" s="5">
        <f t="shared" si="13"/>
        <v>0</v>
      </c>
    </row>
    <row r="31" spans="1:7" s="12" customFormat="1" x14ac:dyDescent="0.3">
      <c r="A31" s="12">
        <v>1</v>
      </c>
      <c r="B31" s="12" t="s">
        <v>816</v>
      </c>
      <c r="C31" s="12" t="s">
        <v>817</v>
      </c>
      <c r="D31" s="3">
        <f>0.15*(D21+D22+D24+D28)</f>
        <v>729.30391950000001</v>
      </c>
      <c r="E31" s="13"/>
      <c r="F31" s="3">
        <f t="shared" si="12"/>
        <v>729.30391950000001</v>
      </c>
      <c r="G31" s="5">
        <f t="shared" si="13"/>
        <v>729.30391950000001</v>
      </c>
    </row>
    <row r="32" spans="1:7" s="40" customFormat="1" x14ac:dyDescent="0.3">
      <c r="A32" s="40">
        <v>1</v>
      </c>
      <c r="C32" s="40" t="s">
        <v>868</v>
      </c>
      <c r="D32" s="3">
        <f>30*8*3*3</f>
        <v>2160</v>
      </c>
      <c r="E32" s="13"/>
      <c r="F32" s="3">
        <f t="shared" si="12"/>
        <v>2160</v>
      </c>
      <c r="G32" s="5">
        <f t="shared" si="13"/>
        <v>2160</v>
      </c>
    </row>
    <row r="33" spans="1:7" s="40" customFormat="1" x14ac:dyDescent="0.3">
      <c r="A33" s="40">
        <v>1</v>
      </c>
      <c r="C33" s="40" t="s">
        <v>869</v>
      </c>
      <c r="D33" s="3">
        <f>630*2*0.6+19*3*8*2</f>
        <v>1668</v>
      </c>
      <c r="E33" s="13"/>
      <c r="F33" s="3">
        <f t="shared" si="12"/>
        <v>1668</v>
      </c>
      <c r="G33" s="5">
        <f t="shared" si="13"/>
        <v>1668</v>
      </c>
    </row>
    <row r="34" spans="1:7" s="40" customFormat="1" x14ac:dyDescent="0.3">
      <c r="A34" s="40" t="s">
        <v>862</v>
      </c>
      <c r="D34" s="3"/>
      <c r="E34" s="13"/>
      <c r="F34" s="3"/>
      <c r="G34" s="5"/>
    </row>
    <row r="35" spans="1:7" s="40" customFormat="1" x14ac:dyDescent="0.3">
      <c r="A35" s="40">
        <v>4</v>
      </c>
      <c r="B35" s="40" t="s">
        <v>863</v>
      </c>
      <c r="D35" s="3">
        <f>786*2.47</f>
        <v>1941.42</v>
      </c>
      <c r="E35" s="13">
        <v>0.15</v>
      </c>
      <c r="F35" s="3">
        <f t="shared" ref="F35" si="16">+D35*A35</f>
        <v>7765.68</v>
      </c>
      <c r="G35" s="5">
        <f t="shared" ref="G35" si="17">+F35*(1-E35)</f>
        <v>6600.8280000000004</v>
      </c>
    </row>
    <row r="36" spans="1:7" s="40" customFormat="1" x14ac:dyDescent="0.3">
      <c r="A36" s="40">
        <v>2</v>
      </c>
      <c r="B36" s="40" t="s">
        <v>864</v>
      </c>
      <c r="D36" s="3">
        <v>354.90935999999999</v>
      </c>
      <c r="E36" s="13">
        <v>0.1497975708502024</v>
      </c>
      <c r="F36" s="3">
        <f t="shared" ref="F36" si="18">+D36*A36</f>
        <v>709.81871999999998</v>
      </c>
      <c r="G36" s="5">
        <f t="shared" ref="G36" si="19">+F36*(1-E36)</f>
        <v>603.4896</v>
      </c>
    </row>
    <row r="37" spans="1:7" s="40" customFormat="1" x14ac:dyDescent="0.3">
      <c r="A37" s="40">
        <v>2</v>
      </c>
      <c r="B37" s="40" t="s">
        <v>866</v>
      </c>
      <c r="C37" s="40" t="s">
        <v>867</v>
      </c>
      <c r="D37" s="3">
        <f>24.96*2.47</f>
        <v>61.65120000000001</v>
      </c>
      <c r="E37" s="13">
        <v>0.1497975708502024</v>
      </c>
      <c r="F37" s="3">
        <f t="shared" ref="F37" si="20">+D37*A37</f>
        <v>123.30240000000002</v>
      </c>
      <c r="G37" s="5">
        <f t="shared" ref="G37" si="21">+F37*(1-E37)</f>
        <v>104.83200000000002</v>
      </c>
    </row>
    <row r="38" spans="1:7" s="40" customFormat="1" x14ac:dyDescent="0.3">
      <c r="A38" s="40">
        <v>1</v>
      </c>
      <c r="B38" s="40" t="s">
        <v>816</v>
      </c>
      <c r="C38" s="40" t="s">
        <v>865</v>
      </c>
      <c r="D38" s="3"/>
      <c r="E38" s="13"/>
      <c r="F38" s="3"/>
      <c r="G38" s="5">
        <f>15%*SUM(G35:G37)</f>
        <v>1096.3724400000001</v>
      </c>
    </row>
    <row r="39" spans="1:7" s="40" customFormat="1" x14ac:dyDescent="0.3">
      <c r="D39" s="3"/>
      <c r="E39" s="13"/>
      <c r="F39" s="3"/>
      <c r="G39" s="5"/>
    </row>
    <row r="40" spans="1:7" x14ac:dyDescent="0.3">
      <c r="A40" t="s">
        <v>836</v>
      </c>
    </row>
    <row r="41" spans="1:7" x14ac:dyDescent="0.3">
      <c r="A41">
        <v>1</v>
      </c>
      <c r="B41" t="s">
        <v>681</v>
      </c>
      <c r="C41" t="s">
        <v>682</v>
      </c>
      <c r="D41" s="3">
        <v>2346.5</v>
      </c>
      <c r="E41" s="13">
        <v>0.1497975708502024</v>
      </c>
      <c r="F41" s="3">
        <f t="shared" ref="F41:F47" si="22">+D41*A41</f>
        <v>2346.5</v>
      </c>
      <c r="G41" s="5">
        <f t="shared" ref="G41:G47" si="23">+F41*(1-E41)</f>
        <v>1995</v>
      </c>
    </row>
    <row r="42" spans="1:7" x14ac:dyDescent="0.3">
      <c r="A42">
        <v>1</v>
      </c>
      <c r="B42" t="s">
        <v>686</v>
      </c>
      <c r="C42" t="s">
        <v>876</v>
      </c>
      <c r="D42" s="3">
        <v>247.00000000000003</v>
      </c>
      <c r="E42" s="13">
        <v>0.14979757085020251</v>
      </c>
      <c r="F42" s="3">
        <f t="shared" si="22"/>
        <v>247.00000000000003</v>
      </c>
      <c r="G42" s="5">
        <f t="shared" si="23"/>
        <v>210</v>
      </c>
    </row>
    <row r="43" spans="1:7" x14ac:dyDescent="0.3">
      <c r="A43">
        <v>1</v>
      </c>
      <c r="B43" t="s">
        <v>687</v>
      </c>
      <c r="C43" t="s">
        <v>875</v>
      </c>
      <c r="D43" s="3">
        <v>370.50000000000006</v>
      </c>
      <c r="E43" s="13">
        <v>0.14979757085020251</v>
      </c>
      <c r="F43" s="3">
        <f t="shared" si="22"/>
        <v>370.50000000000006</v>
      </c>
      <c r="G43" s="5">
        <f t="shared" si="23"/>
        <v>315</v>
      </c>
    </row>
    <row r="44" spans="1:7" x14ac:dyDescent="0.3">
      <c r="A44">
        <v>1</v>
      </c>
      <c r="B44" t="s">
        <v>684</v>
      </c>
      <c r="C44" t="s">
        <v>874</v>
      </c>
      <c r="D44" s="3">
        <v>247.00000000000003</v>
      </c>
      <c r="E44" s="13">
        <v>0.14979757085020251</v>
      </c>
      <c r="F44" s="3">
        <f t="shared" si="22"/>
        <v>247.00000000000003</v>
      </c>
      <c r="G44" s="5">
        <f t="shared" si="23"/>
        <v>210</v>
      </c>
    </row>
    <row r="45" spans="1:7" x14ac:dyDescent="0.3">
      <c r="A45">
        <v>2</v>
      </c>
      <c r="B45" t="s">
        <v>194</v>
      </c>
      <c r="C45" t="s">
        <v>195</v>
      </c>
      <c r="D45" s="3">
        <v>1052.8375000000001</v>
      </c>
      <c r="E45" s="13">
        <v>0.14979757085020251</v>
      </c>
      <c r="F45" s="3">
        <f t="shared" si="22"/>
        <v>2105.6750000000002</v>
      </c>
      <c r="G45" s="5">
        <f t="shared" si="23"/>
        <v>1790.25</v>
      </c>
    </row>
    <row r="46" spans="1:7" x14ac:dyDescent="0.3">
      <c r="A46">
        <v>2</v>
      </c>
      <c r="B46" t="s">
        <v>196</v>
      </c>
      <c r="C46" t="s">
        <v>197</v>
      </c>
      <c r="D46" s="3">
        <v>1122.1210000000001</v>
      </c>
      <c r="E46" s="13">
        <v>0.1497975708502024</v>
      </c>
      <c r="F46" s="3">
        <f t="shared" si="22"/>
        <v>2244.2420000000002</v>
      </c>
      <c r="G46" s="5">
        <f t="shared" si="23"/>
        <v>1908.0600000000002</v>
      </c>
    </row>
    <row r="47" spans="1:7" x14ac:dyDescent="0.3">
      <c r="A47">
        <v>2</v>
      </c>
      <c r="B47" t="s">
        <v>202</v>
      </c>
      <c r="C47" t="s">
        <v>203</v>
      </c>
      <c r="D47" s="3">
        <v>1154.7250000000001</v>
      </c>
      <c r="E47" s="13">
        <v>0.1497975708502024</v>
      </c>
      <c r="F47" s="3">
        <f t="shared" si="22"/>
        <v>2309.4500000000003</v>
      </c>
      <c r="G47" s="5">
        <f t="shared" si="23"/>
        <v>1963.5000000000002</v>
      </c>
    </row>
    <row r="48" spans="1:7" s="40" customFormat="1" x14ac:dyDescent="0.3">
      <c r="A48" s="40">
        <v>0</v>
      </c>
      <c r="B48" s="40" t="s">
        <v>872</v>
      </c>
      <c r="C48" s="40" t="s">
        <v>873</v>
      </c>
      <c r="D48" s="3">
        <f>290*2.47</f>
        <v>716.30000000000007</v>
      </c>
      <c r="E48" s="13">
        <v>0.15</v>
      </c>
      <c r="F48" s="3">
        <f t="shared" ref="F48" si="24">+D48*A48</f>
        <v>0</v>
      </c>
      <c r="G48" s="5">
        <f t="shared" ref="G48" si="25">+F48*(1-E48)</f>
        <v>0</v>
      </c>
    </row>
    <row r="49" spans="1:7" s="40" customFormat="1" x14ac:dyDescent="0.3">
      <c r="C49" s="45" t="s">
        <v>877</v>
      </c>
      <c r="D49" s="3"/>
      <c r="E49" s="13"/>
      <c r="F49" s="3"/>
      <c r="G49" s="5"/>
    </row>
    <row r="50" spans="1:7" x14ac:dyDescent="0.3">
      <c r="C50" s="46" t="s">
        <v>871</v>
      </c>
    </row>
    <row r="51" spans="1:7" x14ac:dyDescent="0.3">
      <c r="A51" t="s">
        <v>837</v>
      </c>
    </row>
    <row r="52" spans="1:7" x14ac:dyDescent="0.3">
      <c r="A52">
        <v>1</v>
      </c>
      <c r="B52" t="s">
        <v>560</v>
      </c>
      <c r="C52" t="s">
        <v>554</v>
      </c>
      <c r="D52" s="3">
        <v>609.07000000000005</v>
      </c>
      <c r="E52" s="13">
        <v>-5.0000000000000044E-2</v>
      </c>
      <c r="F52" s="3">
        <f t="shared" ref="F52" si="26">+D52*A52</f>
        <v>609.07000000000005</v>
      </c>
      <c r="G52" s="5">
        <f t="shared" ref="G52" si="27">+F52*(1-E52)</f>
        <v>639.52350000000013</v>
      </c>
    </row>
    <row r="53" spans="1:7" x14ac:dyDescent="0.3">
      <c r="A53">
        <v>1</v>
      </c>
      <c r="B53" s="12" t="s">
        <v>244</v>
      </c>
      <c r="C53" s="12" t="s">
        <v>243</v>
      </c>
      <c r="D53" s="3">
        <v>327</v>
      </c>
      <c r="E53" s="13">
        <v>-0.33577981651376154</v>
      </c>
      <c r="F53" s="3">
        <f t="shared" ref="F53:F54" si="28">+D53*A53</f>
        <v>327</v>
      </c>
      <c r="G53" s="5">
        <f t="shared" ref="G53:G54" si="29">+F53*(1-E53)</f>
        <v>436.8</v>
      </c>
    </row>
    <row r="54" spans="1:7" x14ac:dyDescent="0.3">
      <c r="A54">
        <v>1</v>
      </c>
      <c r="B54" s="12" t="s">
        <v>816</v>
      </c>
      <c r="C54" s="12" t="s">
        <v>817</v>
      </c>
      <c r="D54" s="3">
        <f>0.15*(D53)</f>
        <v>49.05</v>
      </c>
      <c r="F54" s="3">
        <f t="shared" si="28"/>
        <v>49.05</v>
      </c>
      <c r="G54" s="5">
        <f t="shared" si="29"/>
        <v>49.05</v>
      </c>
    </row>
    <row r="55" spans="1:7" s="40" customFormat="1" x14ac:dyDescent="0.3">
      <c r="A55" s="44" t="s">
        <v>870</v>
      </c>
      <c r="D55" s="3"/>
      <c r="E55" s="13"/>
      <c r="F55" s="3"/>
      <c r="G55" s="5"/>
    </row>
    <row r="56" spans="1:7" x14ac:dyDescent="0.3">
      <c r="A56" s="23" t="s">
        <v>838</v>
      </c>
    </row>
    <row r="57" spans="1:7" x14ac:dyDescent="0.3">
      <c r="A57">
        <v>1</v>
      </c>
      <c r="B57" s="38" t="s">
        <v>842</v>
      </c>
      <c r="C57" s="38" t="s">
        <v>843</v>
      </c>
      <c r="D57" s="3">
        <f>3500*2.47</f>
        <v>8645</v>
      </c>
      <c r="E57" s="13">
        <v>0.15</v>
      </c>
      <c r="F57" s="3">
        <f t="shared" ref="F57:F58" si="30">+D57*A57</f>
        <v>8645</v>
      </c>
      <c r="G57" s="5">
        <f t="shared" ref="G57:G58" si="31">+F57*(1-E57)</f>
        <v>7348.25</v>
      </c>
    </row>
    <row r="58" spans="1:7" x14ac:dyDescent="0.3">
      <c r="A58">
        <v>1</v>
      </c>
      <c r="B58" s="39" t="s">
        <v>844</v>
      </c>
      <c r="C58" s="39" t="s">
        <v>845</v>
      </c>
      <c r="D58" s="3">
        <f>830*2.47</f>
        <v>2050.1000000000004</v>
      </c>
      <c r="E58" s="13">
        <v>0.15</v>
      </c>
      <c r="F58" s="3">
        <f t="shared" si="30"/>
        <v>2050.1000000000004</v>
      </c>
      <c r="G58" s="5">
        <f t="shared" si="31"/>
        <v>1742.5850000000003</v>
      </c>
    </row>
    <row r="59" spans="1:7" x14ac:dyDescent="0.3">
      <c r="A59">
        <v>1</v>
      </c>
      <c r="B59" s="41" t="s">
        <v>590</v>
      </c>
      <c r="C59" s="41" t="s">
        <v>591</v>
      </c>
      <c r="D59" s="3">
        <v>162.55070000000001</v>
      </c>
      <c r="E59" s="13">
        <v>0.14979757085020229</v>
      </c>
      <c r="F59" s="3">
        <f t="shared" ref="F59" si="32">+D59*A59</f>
        <v>162.55070000000001</v>
      </c>
      <c r="G59" s="5">
        <f t="shared" ref="G59" si="33">+F59*(1-E59)</f>
        <v>138.20100000000002</v>
      </c>
    </row>
    <row r="60" spans="1:7" x14ac:dyDescent="0.3">
      <c r="A60">
        <v>1</v>
      </c>
      <c r="B60" s="41" t="s">
        <v>245</v>
      </c>
      <c r="C60" s="41" t="s">
        <v>846</v>
      </c>
      <c r="D60" s="3">
        <v>449</v>
      </c>
      <c r="E60" s="13">
        <v>1.3140311804008875E-2</v>
      </c>
      <c r="F60" s="3">
        <f t="shared" ref="F60:F63" si="34">+D60*A60</f>
        <v>449</v>
      </c>
      <c r="G60" s="5">
        <f t="shared" ref="G60:G63" si="35">+F60*(1-E60)</f>
        <v>443.1</v>
      </c>
    </row>
    <row r="61" spans="1:7" x14ac:dyDescent="0.3">
      <c r="A61">
        <v>1</v>
      </c>
      <c r="B61" s="41" t="s">
        <v>330</v>
      </c>
      <c r="C61" s="41" t="s">
        <v>847</v>
      </c>
      <c r="D61" s="3">
        <v>577.19999999999993</v>
      </c>
      <c r="E61" s="13">
        <v>0.27051195426195418</v>
      </c>
      <c r="F61" s="3">
        <f t="shared" si="34"/>
        <v>577.19999999999993</v>
      </c>
      <c r="G61" s="5">
        <f t="shared" si="35"/>
        <v>421.06049999999999</v>
      </c>
    </row>
    <row r="62" spans="1:7" x14ac:dyDescent="0.3">
      <c r="A62">
        <v>1</v>
      </c>
      <c r="B62" s="41" t="s">
        <v>26</v>
      </c>
      <c r="C62" s="41" t="s">
        <v>27</v>
      </c>
      <c r="D62" s="3">
        <v>913.29485000000011</v>
      </c>
      <c r="E62" s="13">
        <v>0.14979757085020251</v>
      </c>
      <c r="F62" s="3">
        <f t="shared" si="34"/>
        <v>913.29485000000011</v>
      </c>
      <c r="G62" s="5">
        <f t="shared" si="35"/>
        <v>776.4855</v>
      </c>
    </row>
    <row r="63" spans="1:7" x14ac:dyDescent="0.3">
      <c r="A63">
        <v>1</v>
      </c>
      <c r="B63" s="41" t="s">
        <v>486</v>
      </c>
      <c r="C63" s="41" t="s">
        <v>487</v>
      </c>
      <c r="D63" s="3">
        <v>916</v>
      </c>
      <c r="F63" s="3">
        <f t="shared" si="34"/>
        <v>916</v>
      </c>
      <c r="G63" s="5">
        <f t="shared" si="35"/>
        <v>916</v>
      </c>
    </row>
    <row r="64" spans="1:7" x14ac:dyDescent="0.3">
      <c r="A64">
        <v>2</v>
      </c>
      <c r="B64" s="41" t="s">
        <v>623</v>
      </c>
      <c r="C64" s="41" t="s">
        <v>624</v>
      </c>
      <c r="D64" s="3">
        <v>259</v>
      </c>
      <c r="E64" s="13">
        <v>-0.20454054054054049</v>
      </c>
      <c r="F64" s="3">
        <f t="shared" ref="F64" si="36">+D64*A64</f>
        <v>518</v>
      </c>
      <c r="G64" s="5">
        <f t="shared" ref="G64" si="37">+F64*(1-E64)</f>
        <v>623.952</v>
      </c>
    </row>
    <row r="65" spans="1:7" x14ac:dyDescent="0.3">
      <c r="A65">
        <v>1</v>
      </c>
      <c r="B65" s="41" t="s">
        <v>689</v>
      </c>
      <c r="C65" s="41" t="s">
        <v>128</v>
      </c>
      <c r="D65" s="3">
        <v>988.00000000000011</v>
      </c>
      <c r="E65" s="13">
        <v>0.15</v>
      </c>
      <c r="F65" s="3">
        <f t="shared" ref="F65:F67" si="38">+D65*A65</f>
        <v>988.00000000000011</v>
      </c>
      <c r="G65" s="5">
        <f t="shared" ref="G65:G67" si="39">+F65*(1-E65)</f>
        <v>839.80000000000007</v>
      </c>
    </row>
    <row r="66" spans="1:7" x14ac:dyDescent="0.3">
      <c r="A66">
        <v>1</v>
      </c>
      <c r="B66" s="41" t="s">
        <v>848</v>
      </c>
      <c r="C66" s="41" t="s">
        <v>849</v>
      </c>
      <c r="D66" s="42">
        <v>450</v>
      </c>
      <c r="F66" s="3">
        <f t="shared" si="38"/>
        <v>450</v>
      </c>
      <c r="G66" s="5">
        <f t="shared" si="39"/>
        <v>450</v>
      </c>
    </row>
    <row r="67" spans="1:7" x14ac:dyDescent="0.3">
      <c r="A67">
        <v>1</v>
      </c>
      <c r="B67" s="41" t="s">
        <v>850</v>
      </c>
      <c r="C67" s="41" t="s">
        <v>851</v>
      </c>
      <c r="D67" s="3">
        <f>3500*1.5</f>
        <v>5250</v>
      </c>
      <c r="F67" s="3">
        <f t="shared" si="38"/>
        <v>5250</v>
      </c>
      <c r="G67" s="5">
        <f t="shared" si="39"/>
        <v>5250</v>
      </c>
    </row>
    <row r="68" spans="1:7" x14ac:dyDescent="0.3">
      <c r="A68" s="41" t="s">
        <v>853</v>
      </c>
    </row>
    <row r="69" spans="1:7" x14ac:dyDescent="0.3">
      <c r="A69" s="40">
        <v>1</v>
      </c>
      <c r="B69" s="41" t="s">
        <v>842</v>
      </c>
      <c r="C69" s="41" t="s">
        <v>843</v>
      </c>
      <c r="D69" s="3">
        <f>3500*2.47</f>
        <v>8645</v>
      </c>
      <c r="E69" s="13">
        <v>0.15</v>
      </c>
      <c r="F69" s="3">
        <f t="shared" ref="F69:F79" si="40">+D69*A69</f>
        <v>8645</v>
      </c>
      <c r="G69" s="5">
        <f t="shared" ref="G69:G79" si="41">+F69*(1-E69)</f>
        <v>7348.25</v>
      </c>
    </row>
    <row r="70" spans="1:7" x14ac:dyDescent="0.3">
      <c r="A70" s="40">
        <v>1</v>
      </c>
      <c r="B70" s="41" t="s">
        <v>844</v>
      </c>
      <c r="C70" s="41" t="s">
        <v>845</v>
      </c>
      <c r="D70" s="3">
        <f>830*2.47</f>
        <v>2050.1000000000004</v>
      </c>
      <c r="E70" s="13">
        <v>0.15</v>
      </c>
      <c r="F70" s="3">
        <f t="shared" si="40"/>
        <v>2050.1000000000004</v>
      </c>
      <c r="G70" s="5">
        <f t="shared" si="41"/>
        <v>1742.5850000000003</v>
      </c>
    </row>
    <row r="71" spans="1:7" x14ac:dyDescent="0.3">
      <c r="A71" s="40">
        <v>1</v>
      </c>
      <c r="B71" s="41" t="s">
        <v>590</v>
      </c>
      <c r="C71" s="41" t="s">
        <v>591</v>
      </c>
      <c r="D71" s="3">
        <v>162.55070000000001</v>
      </c>
      <c r="E71" s="13">
        <v>0.14979757085020229</v>
      </c>
      <c r="F71" s="3">
        <f t="shared" si="40"/>
        <v>162.55070000000001</v>
      </c>
      <c r="G71" s="5">
        <f t="shared" si="41"/>
        <v>138.20100000000002</v>
      </c>
    </row>
    <row r="72" spans="1:7" x14ac:dyDescent="0.3">
      <c r="A72" s="40">
        <v>1</v>
      </c>
      <c r="B72" s="41" t="s">
        <v>245</v>
      </c>
      <c r="C72" s="41" t="s">
        <v>846</v>
      </c>
      <c r="D72" s="3">
        <v>449</v>
      </c>
      <c r="E72" s="13">
        <v>1.3140311804008875E-2</v>
      </c>
      <c r="F72" s="3">
        <f t="shared" si="40"/>
        <v>449</v>
      </c>
      <c r="G72" s="5">
        <f t="shared" si="41"/>
        <v>443.1</v>
      </c>
    </row>
    <row r="73" spans="1:7" x14ac:dyDescent="0.3">
      <c r="A73" s="40">
        <v>1</v>
      </c>
      <c r="B73" s="41" t="s">
        <v>330</v>
      </c>
      <c r="C73" s="41" t="s">
        <v>847</v>
      </c>
      <c r="D73" s="3">
        <v>577.19999999999993</v>
      </c>
      <c r="E73" s="13">
        <v>0.27051195426195418</v>
      </c>
      <c r="F73" s="3">
        <f t="shared" si="40"/>
        <v>577.19999999999993</v>
      </c>
      <c r="G73" s="5">
        <f t="shared" si="41"/>
        <v>421.06049999999999</v>
      </c>
    </row>
    <row r="74" spans="1:7" x14ac:dyDescent="0.3">
      <c r="A74" s="40">
        <v>1</v>
      </c>
      <c r="B74" s="41" t="s">
        <v>26</v>
      </c>
      <c r="C74" s="41" t="s">
        <v>27</v>
      </c>
      <c r="D74" s="3">
        <v>913.29485000000011</v>
      </c>
      <c r="E74" s="13">
        <v>0.14979757085020251</v>
      </c>
      <c r="F74" s="3">
        <f t="shared" si="40"/>
        <v>913.29485000000011</v>
      </c>
      <c r="G74" s="5">
        <f t="shared" si="41"/>
        <v>776.4855</v>
      </c>
    </row>
    <row r="75" spans="1:7" x14ac:dyDescent="0.3">
      <c r="A75" s="40">
        <v>1</v>
      </c>
      <c r="B75" s="41" t="s">
        <v>486</v>
      </c>
      <c r="C75" s="41" t="s">
        <v>487</v>
      </c>
      <c r="D75" s="3">
        <v>916</v>
      </c>
      <c r="F75" s="3">
        <f t="shared" si="40"/>
        <v>916</v>
      </c>
      <c r="G75" s="5">
        <f t="shared" si="41"/>
        <v>916</v>
      </c>
    </row>
    <row r="76" spans="1:7" x14ac:dyDescent="0.3">
      <c r="A76" s="40">
        <v>2</v>
      </c>
      <c r="B76" s="41" t="s">
        <v>623</v>
      </c>
      <c r="C76" s="41" t="s">
        <v>624</v>
      </c>
      <c r="D76" s="3">
        <v>259</v>
      </c>
      <c r="E76" s="13">
        <v>-0.20454054054054049</v>
      </c>
      <c r="F76" s="3">
        <f t="shared" si="40"/>
        <v>518</v>
      </c>
      <c r="G76" s="5">
        <f t="shared" si="41"/>
        <v>623.952</v>
      </c>
    </row>
    <row r="77" spans="1:7" x14ac:dyDescent="0.3">
      <c r="A77" s="40">
        <v>1</v>
      </c>
      <c r="B77" s="41" t="s">
        <v>689</v>
      </c>
      <c r="C77" s="41" t="s">
        <v>128</v>
      </c>
      <c r="D77" s="3">
        <v>988.00000000000011</v>
      </c>
      <c r="E77" s="13">
        <v>0.15</v>
      </c>
      <c r="F77" s="3">
        <f t="shared" si="40"/>
        <v>988.00000000000011</v>
      </c>
      <c r="G77" s="5">
        <f t="shared" si="41"/>
        <v>839.80000000000007</v>
      </c>
    </row>
    <row r="78" spans="1:7" x14ac:dyDescent="0.3">
      <c r="A78" s="40">
        <v>1</v>
      </c>
      <c r="B78" s="41" t="s">
        <v>848</v>
      </c>
      <c r="C78" s="41" t="s">
        <v>849</v>
      </c>
      <c r="D78" s="42">
        <v>450</v>
      </c>
      <c r="F78" s="3">
        <f t="shared" si="40"/>
        <v>450</v>
      </c>
      <c r="G78" s="5">
        <f t="shared" si="41"/>
        <v>450</v>
      </c>
    </row>
    <row r="79" spans="1:7" x14ac:dyDescent="0.3">
      <c r="A79" s="40">
        <v>1</v>
      </c>
      <c r="B79" s="41" t="s">
        <v>850</v>
      </c>
      <c r="C79" s="41" t="s">
        <v>851</v>
      </c>
      <c r="D79" s="3">
        <f>3500*1.5</f>
        <v>5250</v>
      </c>
      <c r="F79" s="3">
        <f t="shared" si="40"/>
        <v>5250</v>
      </c>
      <c r="G79" s="5">
        <f t="shared" si="41"/>
        <v>5250</v>
      </c>
    </row>
    <row r="80" spans="1:7" x14ac:dyDescent="0.3">
      <c r="A80" s="41" t="s">
        <v>854</v>
      </c>
      <c r="B80" s="40"/>
      <c r="C80" s="40"/>
      <c r="G80" s="40"/>
    </row>
    <row r="81" spans="1:7" x14ac:dyDescent="0.3">
      <c r="A81" s="40">
        <v>1</v>
      </c>
      <c r="B81" s="41" t="s">
        <v>842</v>
      </c>
      <c r="C81" s="41" t="s">
        <v>843</v>
      </c>
      <c r="D81" s="3">
        <f>3500*2.47</f>
        <v>8645</v>
      </c>
      <c r="E81" s="13">
        <v>0.15</v>
      </c>
      <c r="F81" s="3">
        <f t="shared" ref="F81:F91" si="42">+D81*A81</f>
        <v>8645</v>
      </c>
      <c r="G81" s="5">
        <f t="shared" ref="G81:G91" si="43">+F81*(1-E81)</f>
        <v>7348.25</v>
      </c>
    </row>
    <row r="82" spans="1:7" x14ac:dyDescent="0.3">
      <c r="A82" s="40">
        <v>1</v>
      </c>
      <c r="B82" s="41" t="s">
        <v>844</v>
      </c>
      <c r="C82" s="41" t="s">
        <v>845</v>
      </c>
      <c r="D82" s="3">
        <f>830*2.47</f>
        <v>2050.1000000000004</v>
      </c>
      <c r="E82" s="13">
        <v>0.15</v>
      </c>
      <c r="F82" s="3">
        <f t="shared" si="42"/>
        <v>2050.1000000000004</v>
      </c>
      <c r="G82" s="5">
        <f t="shared" si="43"/>
        <v>1742.5850000000003</v>
      </c>
    </row>
    <row r="83" spans="1:7" x14ac:dyDescent="0.3">
      <c r="A83" s="40">
        <v>1</v>
      </c>
      <c r="B83" s="41" t="s">
        <v>590</v>
      </c>
      <c r="C83" s="41" t="s">
        <v>591</v>
      </c>
      <c r="D83" s="3">
        <v>162.55070000000001</v>
      </c>
      <c r="E83" s="13">
        <v>0.14979757085020229</v>
      </c>
      <c r="F83" s="3">
        <f t="shared" si="42"/>
        <v>162.55070000000001</v>
      </c>
      <c r="G83" s="5">
        <f t="shared" si="43"/>
        <v>138.20100000000002</v>
      </c>
    </row>
    <row r="84" spans="1:7" x14ac:dyDescent="0.3">
      <c r="A84" s="40">
        <v>1</v>
      </c>
      <c r="B84" s="41" t="s">
        <v>245</v>
      </c>
      <c r="C84" s="41" t="s">
        <v>846</v>
      </c>
      <c r="D84" s="3">
        <v>449</v>
      </c>
      <c r="E84" s="13">
        <v>1.3140311804008875E-2</v>
      </c>
      <c r="F84" s="3">
        <f t="shared" si="42"/>
        <v>449</v>
      </c>
      <c r="G84" s="5">
        <f t="shared" si="43"/>
        <v>443.1</v>
      </c>
    </row>
    <row r="85" spans="1:7" x14ac:dyDescent="0.3">
      <c r="A85" s="40">
        <v>1</v>
      </c>
      <c r="B85" s="41" t="s">
        <v>330</v>
      </c>
      <c r="C85" s="41" t="s">
        <v>847</v>
      </c>
      <c r="D85" s="3">
        <v>577.19999999999993</v>
      </c>
      <c r="E85" s="13">
        <v>0.27051195426195418</v>
      </c>
      <c r="F85" s="3">
        <f t="shared" si="42"/>
        <v>577.19999999999993</v>
      </c>
      <c r="G85" s="5">
        <f t="shared" si="43"/>
        <v>421.06049999999999</v>
      </c>
    </row>
    <row r="86" spans="1:7" x14ac:dyDescent="0.3">
      <c r="A86" s="40">
        <v>1</v>
      </c>
      <c r="B86" s="41" t="s">
        <v>26</v>
      </c>
      <c r="C86" s="41" t="s">
        <v>27</v>
      </c>
      <c r="D86" s="3">
        <v>913.29485000000011</v>
      </c>
      <c r="E86" s="13">
        <v>0.14979757085020251</v>
      </c>
      <c r="F86" s="3">
        <f t="shared" si="42"/>
        <v>913.29485000000011</v>
      </c>
      <c r="G86" s="5">
        <f t="shared" si="43"/>
        <v>776.4855</v>
      </c>
    </row>
    <row r="87" spans="1:7" x14ac:dyDescent="0.3">
      <c r="A87" s="40">
        <v>1</v>
      </c>
      <c r="B87" s="41" t="s">
        <v>486</v>
      </c>
      <c r="C87" s="41" t="s">
        <v>487</v>
      </c>
      <c r="D87" s="3">
        <v>916</v>
      </c>
      <c r="F87" s="3">
        <f t="shared" si="42"/>
        <v>916</v>
      </c>
      <c r="G87" s="5">
        <f t="shared" si="43"/>
        <v>916</v>
      </c>
    </row>
    <row r="88" spans="1:7" x14ac:dyDescent="0.3">
      <c r="A88" s="40">
        <v>2</v>
      </c>
      <c r="B88" s="41" t="s">
        <v>623</v>
      </c>
      <c r="C88" s="41" t="s">
        <v>624</v>
      </c>
      <c r="D88" s="3">
        <v>259</v>
      </c>
      <c r="E88" s="13">
        <v>-0.20454054054054049</v>
      </c>
      <c r="F88" s="3">
        <f t="shared" si="42"/>
        <v>518</v>
      </c>
      <c r="G88" s="5">
        <f t="shared" si="43"/>
        <v>623.952</v>
      </c>
    </row>
    <row r="89" spans="1:7" x14ac:dyDescent="0.3">
      <c r="A89" s="40">
        <v>1</v>
      </c>
      <c r="B89" s="41" t="s">
        <v>689</v>
      </c>
      <c r="C89" s="41" t="s">
        <v>128</v>
      </c>
      <c r="D89" s="3">
        <v>988.00000000000011</v>
      </c>
      <c r="E89" s="13">
        <v>0.15</v>
      </c>
      <c r="F89" s="3">
        <f t="shared" si="42"/>
        <v>988.00000000000011</v>
      </c>
      <c r="G89" s="5">
        <f t="shared" si="43"/>
        <v>839.80000000000007</v>
      </c>
    </row>
    <row r="90" spans="1:7" x14ac:dyDescent="0.3">
      <c r="A90" s="40">
        <v>1</v>
      </c>
      <c r="B90" s="41" t="s">
        <v>848</v>
      </c>
      <c r="C90" s="41" t="s">
        <v>849</v>
      </c>
      <c r="D90" s="42">
        <v>450</v>
      </c>
      <c r="F90" s="3">
        <f t="shared" si="42"/>
        <v>450</v>
      </c>
      <c r="G90" s="5">
        <f t="shared" si="43"/>
        <v>450</v>
      </c>
    </row>
    <row r="91" spans="1:7" x14ac:dyDescent="0.3">
      <c r="A91" s="40">
        <v>1</v>
      </c>
      <c r="B91" s="41" t="s">
        <v>850</v>
      </c>
      <c r="C91" s="41" t="s">
        <v>851</v>
      </c>
      <c r="D91" s="3">
        <f>3500*1.5</f>
        <v>5250</v>
      </c>
      <c r="F91" s="3">
        <f t="shared" si="42"/>
        <v>5250</v>
      </c>
      <c r="G91" s="5">
        <f t="shared" si="43"/>
        <v>5250</v>
      </c>
    </row>
    <row r="92" spans="1:7" x14ac:dyDescent="0.3">
      <c r="A92" s="40">
        <v>1</v>
      </c>
      <c r="B92" s="40" t="s">
        <v>217</v>
      </c>
      <c r="C92" s="40" t="s">
        <v>218</v>
      </c>
      <c r="D92" s="3">
        <v>1828.5163</v>
      </c>
      <c r="E92" s="13">
        <v>0.14979757085020251</v>
      </c>
      <c r="F92" s="3">
        <f t="shared" ref="F92" si="44">+D92*A92</f>
        <v>1828.5163</v>
      </c>
      <c r="G92" s="5">
        <f t="shared" ref="G92" si="45">+F92*(1-E92)</f>
        <v>1554.6089999999999</v>
      </c>
    </row>
    <row r="93" spans="1:7" x14ac:dyDescent="0.3">
      <c r="A93" s="41" t="s">
        <v>861</v>
      </c>
    </row>
    <row r="94" spans="1:7" x14ac:dyDescent="0.3">
      <c r="A94">
        <v>1</v>
      </c>
      <c r="B94" t="s">
        <v>855</v>
      </c>
      <c r="C94" t="s">
        <v>856</v>
      </c>
      <c r="D94" s="3">
        <f>1350*2.47</f>
        <v>3334.5000000000005</v>
      </c>
      <c r="E94" s="13">
        <v>0.15</v>
      </c>
      <c r="F94" s="3">
        <f t="shared" ref="F94" si="46">+D94*A94</f>
        <v>3334.5000000000005</v>
      </c>
      <c r="G94" s="5">
        <f t="shared" ref="G94" si="47">+F94*(1-E94)</f>
        <v>2834.3250000000003</v>
      </c>
    </row>
    <row r="95" spans="1:7" x14ac:dyDescent="0.3">
      <c r="A95">
        <v>1</v>
      </c>
      <c r="B95" t="s">
        <v>857</v>
      </c>
      <c r="C95" t="s">
        <v>858</v>
      </c>
      <c r="D95" s="3">
        <f>600*2.47</f>
        <v>1482.0000000000002</v>
      </c>
      <c r="E95" s="13">
        <v>0.15</v>
      </c>
      <c r="F95" s="3">
        <f t="shared" ref="F95:F105" si="48">+D95*A95</f>
        <v>1482.0000000000002</v>
      </c>
      <c r="G95" s="5">
        <f t="shared" ref="G95:G105" si="49">+F95*(1-E95)</f>
        <v>1259.7000000000003</v>
      </c>
    </row>
    <row r="96" spans="1:7" x14ac:dyDescent="0.3">
      <c r="A96">
        <v>1</v>
      </c>
      <c r="B96" t="s">
        <v>245</v>
      </c>
      <c r="C96" t="s">
        <v>846</v>
      </c>
      <c r="D96" s="3">
        <v>449</v>
      </c>
      <c r="E96" s="13">
        <v>1.3140311804008875E-2</v>
      </c>
      <c r="F96" s="3">
        <f t="shared" si="48"/>
        <v>449</v>
      </c>
      <c r="G96" s="5">
        <f t="shared" si="49"/>
        <v>443.1</v>
      </c>
    </row>
    <row r="97" spans="1:7" x14ac:dyDescent="0.3">
      <c r="A97">
        <v>1</v>
      </c>
      <c r="B97" t="s">
        <v>330</v>
      </c>
      <c r="C97" t="s">
        <v>847</v>
      </c>
      <c r="D97" s="3">
        <v>577.19999999999993</v>
      </c>
      <c r="E97" s="13">
        <v>0.27051195426195418</v>
      </c>
      <c r="F97" s="3">
        <f t="shared" si="48"/>
        <v>577.19999999999993</v>
      </c>
      <c r="G97" s="5">
        <f t="shared" si="49"/>
        <v>421.06049999999999</v>
      </c>
    </row>
    <row r="98" spans="1:7" x14ac:dyDescent="0.3">
      <c r="A98">
        <v>1</v>
      </c>
      <c r="B98" t="s">
        <v>26</v>
      </c>
      <c r="C98" s="43" t="s">
        <v>27</v>
      </c>
      <c r="D98" s="3">
        <v>913.29485000000011</v>
      </c>
      <c r="E98" s="13">
        <v>0.14979757085020251</v>
      </c>
      <c r="F98" s="3">
        <f t="shared" si="48"/>
        <v>913.29485000000011</v>
      </c>
      <c r="G98" s="5">
        <f t="shared" si="49"/>
        <v>776.4855</v>
      </c>
    </row>
    <row r="99" spans="1:7" x14ac:dyDescent="0.3">
      <c r="A99">
        <v>1</v>
      </c>
      <c r="B99" t="s">
        <v>486</v>
      </c>
      <c r="C99" t="s">
        <v>487</v>
      </c>
      <c r="D99" s="3">
        <v>916</v>
      </c>
      <c r="F99" s="3">
        <f t="shared" si="48"/>
        <v>916</v>
      </c>
      <c r="G99" s="5">
        <f t="shared" si="49"/>
        <v>916</v>
      </c>
    </row>
    <row r="100" spans="1:7" x14ac:dyDescent="0.3">
      <c r="A100">
        <v>1</v>
      </c>
      <c r="B100" t="s">
        <v>859</v>
      </c>
      <c r="C100" t="s">
        <v>860</v>
      </c>
      <c r="D100" s="3">
        <v>1828.5163</v>
      </c>
      <c r="E100" s="13">
        <v>0.14979757085020251</v>
      </c>
      <c r="F100" s="3">
        <f t="shared" si="48"/>
        <v>1828.5163</v>
      </c>
      <c r="G100" s="5">
        <f t="shared" si="49"/>
        <v>1554.6089999999999</v>
      </c>
    </row>
    <row r="101" spans="1:7" x14ac:dyDescent="0.3">
      <c r="A101">
        <v>1</v>
      </c>
      <c r="B101" s="41" t="s">
        <v>689</v>
      </c>
      <c r="C101" s="41" t="s">
        <v>128</v>
      </c>
      <c r="D101" s="3">
        <v>988.00000000000011</v>
      </c>
      <c r="E101" s="13">
        <v>0.15</v>
      </c>
      <c r="F101" s="3">
        <f t="shared" si="48"/>
        <v>988.00000000000011</v>
      </c>
      <c r="G101" s="5">
        <f t="shared" si="49"/>
        <v>839.80000000000007</v>
      </c>
    </row>
    <row r="102" spans="1:7" x14ac:dyDescent="0.3">
      <c r="A102">
        <v>1</v>
      </c>
      <c r="B102" t="s">
        <v>118</v>
      </c>
      <c r="C102" t="s">
        <v>119</v>
      </c>
      <c r="D102" s="3">
        <v>2062.3759000000005</v>
      </c>
      <c r="E102" s="13">
        <v>0.14979757085020251</v>
      </c>
      <c r="F102" s="3">
        <f t="shared" si="48"/>
        <v>2062.3759000000005</v>
      </c>
      <c r="G102" s="5">
        <f t="shared" si="49"/>
        <v>1753.4370000000001</v>
      </c>
    </row>
    <row r="103" spans="1:7" x14ac:dyDescent="0.3">
      <c r="A103">
        <v>1</v>
      </c>
      <c r="B103" t="s">
        <v>176</v>
      </c>
      <c r="C103" t="s">
        <v>177</v>
      </c>
      <c r="D103" s="3">
        <v>949.29263000000014</v>
      </c>
      <c r="E103" s="13">
        <v>0.14979757085020251</v>
      </c>
      <c r="F103" s="3">
        <f t="shared" si="48"/>
        <v>949.29263000000014</v>
      </c>
      <c r="G103" s="5">
        <f t="shared" si="49"/>
        <v>807.09090000000003</v>
      </c>
    </row>
    <row r="104" spans="1:7" x14ac:dyDescent="0.3">
      <c r="A104">
        <v>1</v>
      </c>
      <c r="B104" t="s">
        <v>186</v>
      </c>
      <c r="C104" t="s">
        <v>187</v>
      </c>
      <c r="D104" s="3">
        <v>130.66300000000001</v>
      </c>
      <c r="E104" s="13">
        <v>0.14979757085020251</v>
      </c>
      <c r="F104" s="3">
        <f t="shared" si="48"/>
        <v>130.66300000000001</v>
      </c>
      <c r="G104" s="5">
        <f t="shared" si="49"/>
        <v>111.09</v>
      </c>
    </row>
    <row r="105" spans="1:7" x14ac:dyDescent="0.3">
      <c r="A105">
        <v>1</v>
      </c>
      <c r="B105" t="s">
        <v>833</v>
      </c>
      <c r="C105" t="s">
        <v>164</v>
      </c>
      <c r="D105" s="3">
        <v>582.75</v>
      </c>
      <c r="E105" s="13">
        <v>0.22879279279279285</v>
      </c>
      <c r="F105" s="3">
        <f t="shared" si="48"/>
        <v>582.75</v>
      </c>
      <c r="G105" s="5">
        <f t="shared" si="49"/>
        <v>449.42099999999999</v>
      </c>
    </row>
    <row r="110" spans="1:7" x14ac:dyDescent="0.3">
      <c r="F110" s="3">
        <f>4202-250-140-265-270-651-300</f>
        <v>2326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Listino 2016</vt:lpstr>
      <vt:lpstr>Foglio1</vt:lpstr>
      <vt:lpstr>sito web</vt:lpstr>
      <vt:lpstr>Dimensionamenti Flussi</vt:lpstr>
      <vt:lpstr>Dimensionamenti Vasca</vt:lpstr>
      <vt:lpstr>LSS</vt:lpstr>
      <vt:lpstr>Computo metrico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c:creator>
  <cp:lastModifiedBy>eni S.p.A.</cp:lastModifiedBy>
  <dcterms:created xsi:type="dcterms:W3CDTF">2016-03-10T17:17:35Z</dcterms:created>
  <dcterms:modified xsi:type="dcterms:W3CDTF">2019-01-28T12:36:38Z</dcterms:modified>
</cp:coreProperties>
</file>